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anhillenbrand/CloudStation/CLT/Business Plan/"/>
    </mc:Choice>
  </mc:AlternateContent>
  <xr:revisionPtr revIDLastSave="0" documentId="13_ncr:1_{B373A141-146D-D242-8BE3-F56B5D30D8CA}" xr6:coauthVersionLast="43" xr6:coauthVersionMax="43" xr10:uidLastSave="{00000000-0000-0000-0000-000000000000}"/>
  <bookViews>
    <workbookView xWindow="1240" yWindow="460" windowWidth="29980" windowHeight="19080" activeTab="2" xr2:uid="{594223C4-8BC7-5448-B015-76FEA8A19133}"/>
  </bookViews>
  <sheets>
    <sheet name="p&amp;l base" sheetId="1" r:id="rId1"/>
    <sheet name="cash flow monthly" sheetId="2" r:id="rId2"/>
    <sheet name="p&amp;l anual 5 years" sheetId="3" r:id="rId3"/>
    <sheet name="Data for Chart" sheetId="4" r:id="rId4"/>
  </sheets>
  <definedNames>
    <definedName name="_xlnm.Print_Area" localSheetId="0">'p&amp;l base'!$T$1:$AH$36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4" l="1"/>
  <c r="D2" i="4"/>
  <c r="C6" i="4"/>
  <c r="C5" i="4"/>
  <c r="C2" i="4"/>
  <c r="D6" i="4" s="1"/>
  <c r="C4" i="4"/>
  <c r="C3" i="4"/>
  <c r="J28" i="3"/>
  <c r="I28" i="3"/>
  <c r="H28" i="3"/>
  <c r="F28" i="3"/>
  <c r="G28" i="3"/>
  <c r="D4" i="4" l="1"/>
  <c r="D5" i="4"/>
  <c r="P53" i="2"/>
  <c r="O53" i="2"/>
  <c r="N53" i="2"/>
  <c r="P80" i="2"/>
  <c r="O80" i="2"/>
  <c r="N80" i="2"/>
  <c r="M80" i="2"/>
  <c r="L80" i="2"/>
  <c r="K80" i="2"/>
  <c r="J80" i="2"/>
  <c r="I80" i="2"/>
  <c r="H80" i="2"/>
  <c r="G80" i="2"/>
  <c r="F80" i="2"/>
  <c r="H26" i="3" s="1"/>
  <c r="E80" i="2"/>
  <c r="P107" i="2"/>
  <c r="O107" i="2"/>
  <c r="N107" i="2"/>
  <c r="M107" i="2"/>
  <c r="L107" i="2"/>
  <c r="K107" i="2"/>
  <c r="J107" i="2"/>
  <c r="I107" i="2"/>
  <c r="I26" i="3" s="1"/>
  <c r="H107" i="2"/>
  <c r="G107" i="2"/>
  <c r="F107" i="2"/>
  <c r="E107" i="2"/>
  <c r="F134" i="2"/>
  <c r="G134" i="2"/>
  <c r="H134" i="2"/>
  <c r="I134" i="2"/>
  <c r="J134" i="2"/>
  <c r="K134" i="2"/>
  <c r="L134" i="2"/>
  <c r="J26" i="3" s="1"/>
  <c r="M134" i="2"/>
  <c r="N134" i="2"/>
  <c r="O134" i="2"/>
  <c r="P134" i="2"/>
  <c r="E134" i="2"/>
  <c r="P126" i="2"/>
  <c r="O126" i="2"/>
  <c r="N126" i="2"/>
  <c r="M126" i="2"/>
  <c r="L126" i="2"/>
  <c r="K126" i="2"/>
  <c r="J126" i="2"/>
  <c r="I126" i="2"/>
  <c r="H126" i="2"/>
  <c r="G126" i="2"/>
  <c r="F126" i="2"/>
  <c r="E126" i="2"/>
  <c r="P125" i="2"/>
  <c r="O125" i="2"/>
  <c r="N125" i="2"/>
  <c r="M125" i="2"/>
  <c r="L125" i="2"/>
  <c r="K125" i="2"/>
  <c r="J125" i="2"/>
  <c r="I125" i="2"/>
  <c r="H125" i="2"/>
  <c r="G125" i="2"/>
  <c r="F125" i="2"/>
  <c r="E125" i="2"/>
  <c r="J17" i="3" s="1"/>
  <c r="P124" i="2"/>
  <c r="O124" i="2"/>
  <c r="N124" i="2"/>
  <c r="M124" i="2"/>
  <c r="L124" i="2"/>
  <c r="K124" i="2"/>
  <c r="J124" i="2"/>
  <c r="I124" i="2"/>
  <c r="J16" i="3" s="1"/>
  <c r="H124" i="2"/>
  <c r="G124" i="2"/>
  <c r="F124" i="2"/>
  <c r="E124" i="2"/>
  <c r="P99" i="2"/>
  <c r="O99" i="2"/>
  <c r="N99" i="2"/>
  <c r="M99" i="2"/>
  <c r="L99" i="2"/>
  <c r="K99" i="2"/>
  <c r="J99" i="2"/>
  <c r="I99" i="2"/>
  <c r="I18" i="3" s="1"/>
  <c r="H99" i="2"/>
  <c r="G99" i="2"/>
  <c r="F99" i="2"/>
  <c r="E99" i="2"/>
  <c r="P98" i="2"/>
  <c r="O98" i="2"/>
  <c r="N98" i="2"/>
  <c r="M98" i="2"/>
  <c r="L98" i="2"/>
  <c r="K98" i="2"/>
  <c r="J98" i="2"/>
  <c r="I98" i="2"/>
  <c r="H98" i="2"/>
  <c r="G98" i="2"/>
  <c r="F98" i="2"/>
  <c r="E98" i="2"/>
  <c r="I17" i="3" s="1"/>
  <c r="P97" i="2"/>
  <c r="O97" i="2"/>
  <c r="N97" i="2"/>
  <c r="M97" i="2"/>
  <c r="L97" i="2"/>
  <c r="K97" i="2"/>
  <c r="J97" i="2"/>
  <c r="I97" i="2"/>
  <c r="H97" i="2"/>
  <c r="G97" i="2"/>
  <c r="F97" i="2"/>
  <c r="E97" i="2"/>
  <c r="I16" i="3" s="1"/>
  <c r="P72" i="2"/>
  <c r="O72" i="2"/>
  <c r="N72" i="2"/>
  <c r="M72" i="2"/>
  <c r="L72" i="2"/>
  <c r="K72" i="2"/>
  <c r="J72" i="2"/>
  <c r="I72" i="2"/>
  <c r="H18" i="3" s="1"/>
  <c r="H72" i="2"/>
  <c r="G72" i="2"/>
  <c r="P71" i="2"/>
  <c r="O71" i="2"/>
  <c r="N71" i="2"/>
  <c r="M71" i="2"/>
  <c r="L71" i="2"/>
  <c r="K71" i="2"/>
  <c r="H17" i="3" s="1"/>
  <c r="J71" i="2"/>
  <c r="I71" i="2"/>
  <c r="H71" i="2"/>
  <c r="G71" i="2"/>
  <c r="P70" i="2"/>
  <c r="O70" i="2"/>
  <c r="N70" i="2"/>
  <c r="M70" i="2"/>
  <c r="L70" i="2"/>
  <c r="K70" i="2"/>
  <c r="J70" i="2"/>
  <c r="I70" i="2"/>
  <c r="H70" i="2"/>
  <c r="G70" i="2"/>
  <c r="H16" i="3" s="1"/>
  <c r="F72" i="2"/>
  <c r="F71" i="2"/>
  <c r="F70" i="2"/>
  <c r="E72" i="2"/>
  <c r="E71" i="2"/>
  <c r="E70" i="2"/>
  <c r="P51" i="2"/>
  <c r="P129" i="2"/>
  <c r="O129" i="2"/>
  <c r="N129" i="2"/>
  <c r="M129" i="2"/>
  <c r="L129" i="2"/>
  <c r="K129" i="2"/>
  <c r="J129" i="2"/>
  <c r="I129" i="2"/>
  <c r="H129" i="2"/>
  <c r="G129" i="2"/>
  <c r="F129" i="2"/>
  <c r="E129" i="2"/>
  <c r="J21" i="3" s="1"/>
  <c r="P102" i="2"/>
  <c r="O102" i="2"/>
  <c r="N102" i="2"/>
  <c r="M102" i="2"/>
  <c r="L102" i="2"/>
  <c r="K102" i="2"/>
  <c r="J102" i="2"/>
  <c r="I102" i="2"/>
  <c r="I21" i="3" s="1"/>
  <c r="H102" i="2"/>
  <c r="G102" i="2"/>
  <c r="F102" i="2"/>
  <c r="E102" i="2"/>
  <c r="P75" i="2"/>
  <c r="O75" i="2"/>
  <c r="N75" i="2"/>
  <c r="M75" i="2"/>
  <c r="L75" i="2"/>
  <c r="K75" i="2"/>
  <c r="J75" i="2"/>
  <c r="I75" i="2"/>
  <c r="H21" i="3" s="1"/>
  <c r="H75" i="2"/>
  <c r="G75" i="2"/>
  <c r="F75" i="2"/>
  <c r="E75" i="2"/>
  <c r="P48" i="2"/>
  <c r="O48" i="2"/>
  <c r="G21" i="3" s="1"/>
  <c r="N48" i="2"/>
  <c r="H4" i="3"/>
  <c r="I4" i="3"/>
  <c r="J4" i="3"/>
  <c r="H5" i="3"/>
  <c r="I5" i="3"/>
  <c r="J5" i="3"/>
  <c r="H6" i="3"/>
  <c r="I6" i="3"/>
  <c r="J6" i="3"/>
  <c r="H7" i="3"/>
  <c r="I7" i="3"/>
  <c r="J7" i="3"/>
  <c r="H8" i="3"/>
  <c r="I8" i="3"/>
  <c r="J8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J18" i="3"/>
  <c r="H20" i="3"/>
  <c r="I20" i="3"/>
  <c r="J20" i="3"/>
  <c r="H22" i="3"/>
  <c r="I22" i="3"/>
  <c r="J22" i="3"/>
  <c r="J3" i="3"/>
  <c r="I3" i="3"/>
  <c r="H3" i="3"/>
  <c r="F5" i="3"/>
  <c r="G26" i="3"/>
  <c r="G24" i="3"/>
  <c r="G22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F26" i="3"/>
  <c r="F24" i="3"/>
  <c r="F22" i="3"/>
  <c r="F21" i="3"/>
  <c r="F20" i="3"/>
  <c r="F18" i="3"/>
  <c r="F17" i="3"/>
  <c r="F16" i="3"/>
  <c r="F15" i="3"/>
  <c r="F13" i="3"/>
  <c r="F12" i="3"/>
  <c r="F11" i="3"/>
  <c r="F10" i="3"/>
  <c r="F9" i="3"/>
  <c r="F8" i="3"/>
  <c r="F6" i="3"/>
  <c r="F4" i="3"/>
  <c r="F3" i="3"/>
  <c r="M54" i="2"/>
  <c r="L54" i="2"/>
  <c r="K54" i="2"/>
  <c r="J54" i="2"/>
  <c r="I54" i="2"/>
  <c r="H54" i="2"/>
  <c r="G54" i="2"/>
  <c r="F54" i="2"/>
  <c r="M52" i="2"/>
  <c r="L52" i="2"/>
  <c r="K52" i="2"/>
  <c r="J52" i="2"/>
  <c r="I52" i="2"/>
  <c r="H52" i="2"/>
  <c r="G52" i="2"/>
  <c r="F52" i="2"/>
  <c r="M50" i="2"/>
  <c r="L50" i="2"/>
  <c r="K50" i="2"/>
  <c r="J50" i="2"/>
  <c r="I50" i="2"/>
  <c r="H50" i="2"/>
  <c r="G50" i="2"/>
  <c r="F50" i="2"/>
  <c r="P43" i="2"/>
  <c r="O43" i="2"/>
  <c r="M46" i="2"/>
  <c r="L46" i="2"/>
  <c r="K46" i="2"/>
  <c r="J46" i="2"/>
  <c r="I46" i="2"/>
  <c r="H46" i="2"/>
  <c r="G46" i="2"/>
  <c r="F46" i="2"/>
  <c r="N43" i="2"/>
  <c r="M41" i="2"/>
  <c r="L41" i="2"/>
  <c r="K41" i="2"/>
  <c r="J41" i="2"/>
  <c r="I41" i="2"/>
  <c r="H41" i="2"/>
  <c r="G41" i="2"/>
  <c r="F41" i="2"/>
  <c r="P123" i="2"/>
  <c r="O123" i="2"/>
  <c r="N123" i="2"/>
  <c r="M123" i="2"/>
  <c r="L123" i="2"/>
  <c r="K123" i="2"/>
  <c r="J123" i="2"/>
  <c r="I123" i="2"/>
  <c r="H123" i="2"/>
  <c r="G123" i="2"/>
  <c r="F123" i="2"/>
  <c r="E123" i="2"/>
  <c r="P121" i="2"/>
  <c r="O121" i="2"/>
  <c r="N121" i="2"/>
  <c r="M121" i="2"/>
  <c r="L121" i="2"/>
  <c r="K121" i="2"/>
  <c r="J121" i="2"/>
  <c r="I121" i="2"/>
  <c r="H121" i="2"/>
  <c r="G121" i="2"/>
  <c r="F121" i="2"/>
  <c r="E121" i="2"/>
  <c r="P119" i="2"/>
  <c r="O119" i="2"/>
  <c r="N119" i="2"/>
  <c r="M119" i="2"/>
  <c r="L119" i="2"/>
  <c r="K119" i="2"/>
  <c r="J119" i="2"/>
  <c r="I119" i="2"/>
  <c r="H119" i="2"/>
  <c r="G119" i="2"/>
  <c r="F119" i="2"/>
  <c r="E119" i="2"/>
  <c r="P118" i="2"/>
  <c r="O118" i="2"/>
  <c r="N118" i="2"/>
  <c r="M118" i="2"/>
  <c r="L118" i="2"/>
  <c r="K118" i="2"/>
  <c r="J118" i="2"/>
  <c r="I118" i="2"/>
  <c r="H118" i="2"/>
  <c r="G118" i="2"/>
  <c r="F118" i="2"/>
  <c r="E118" i="2"/>
  <c r="P117" i="2"/>
  <c r="O117" i="2"/>
  <c r="N117" i="2"/>
  <c r="M117" i="2"/>
  <c r="L117" i="2"/>
  <c r="K117" i="2"/>
  <c r="J117" i="2"/>
  <c r="I117" i="2"/>
  <c r="H117" i="2"/>
  <c r="G117" i="2"/>
  <c r="F117" i="2"/>
  <c r="E117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P112" i="2"/>
  <c r="O112" i="2"/>
  <c r="N112" i="2"/>
  <c r="M112" i="2"/>
  <c r="M115" i="2" s="1"/>
  <c r="L112" i="2"/>
  <c r="K112" i="2"/>
  <c r="J112" i="2"/>
  <c r="I112" i="2"/>
  <c r="H112" i="2"/>
  <c r="G112" i="2"/>
  <c r="F112" i="2"/>
  <c r="E112" i="2"/>
  <c r="E115" i="2" s="1"/>
  <c r="P111" i="2"/>
  <c r="P115" i="2" s="1"/>
  <c r="O111" i="2"/>
  <c r="O115" i="2" s="1"/>
  <c r="N111" i="2"/>
  <c r="N115" i="2" s="1"/>
  <c r="M111" i="2"/>
  <c r="L111" i="2"/>
  <c r="L115" i="2" s="1"/>
  <c r="K111" i="2"/>
  <c r="K115" i="2" s="1"/>
  <c r="J111" i="2"/>
  <c r="J115" i="2" s="1"/>
  <c r="I111" i="2"/>
  <c r="I115" i="2" s="1"/>
  <c r="H111" i="2"/>
  <c r="H115" i="2" s="1"/>
  <c r="G111" i="2"/>
  <c r="G115" i="2" s="1"/>
  <c r="F111" i="2"/>
  <c r="F115" i="2" s="1"/>
  <c r="E111" i="2"/>
  <c r="P96" i="2"/>
  <c r="O96" i="2"/>
  <c r="N96" i="2"/>
  <c r="M96" i="2"/>
  <c r="L96" i="2"/>
  <c r="K96" i="2"/>
  <c r="J96" i="2"/>
  <c r="I96" i="2"/>
  <c r="H96" i="2"/>
  <c r="G96" i="2"/>
  <c r="P94" i="2"/>
  <c r="O94" i="2"/>
  <c r="N94" i="2"/>
  <c r="M94" i="2"/>
  <c r="L94" i="2"/>
  <c r="K94" i="2"/>
  <c r="J94" i="2"/>
  <c r="I94" i="2"/>
  <c r="H94" i="2"/>
  <c r="G94" i="2"/>
  <c r="P92" i="2"/>
  <c r="O92" i="2"/>
  <c r="N92" i="2"/>
  <c r="M92" i="2"/>
  <c r="L92" i="2"/>
  <c r="K92" i="2"/>
  <c r="J92" i="2"/>
  <c r="I92" i="2"/>
  <c r="H92" i="2"/>
  <c r="G92" i="2"/>
  <c r="P91" i="2"/>
  <c r="O91" i="2"/>
  <c r="N91" i="2"/>
  <c r="M91" i="2"/>
  <c r="L91" i="2"/>
  <c r="K91" i="2"/>
  <c r="J91" i="2"/>
  <c r="I91" i="2"/>
  <c r="H91" i="2"/>
  <c r="G91" i="2"/>
  <c r="P90" i="2"/>
  <c r="O90" i="2"/>
  <c r="N90" i="2"/>
  <c r="M90" i="2"/>
  <c r="L90" i="2"/>
  <c r="K90" i="2"/>
  <c r="J90" i="2"/>
  <c r="I90" i="2"/>
  <c r="H90" i="2"/>
  <c r="G90" i="2"/>
  <c r="P88" i="2"/>
  <c r="O88" i="2"/>
  <c r="H88" i="2"/>
  <c r="G88" i="2"/>
  <c r="P87" i="2"/>
  <c r="O87" i="2"/>
  <c r="N87" i="2"/>
  <c r="M87" i="2"/>
  <c r="L87" i="2"/>
  <c r="K87" i="2"/>
  <c r="J87" i="2"/>
  <c r="J88" i="2" s="1"/>
  <c r="I87" i="2"/>
  <c r="I88" i="2" s="1"/>
  <c r="H87" i="2"/>
  <c r="G87" i="2"/>
  <c r="P85" i="2"/>
  <c r="O85" i="2"/>
  <c r="N85" i="2"/>
  <c r="M85" i="2"/>
  <c r="L85" i="2"/>
  <c r="K85" i="2"/>
  <c r="K88" i="2" s="1"/>
  <c r="J85" i="2"/>
  <c r="I85" i="2"/>
  <c r="H85" i="2"/>
  <c r="G85" i="2"/>
  <c r="P84" i="2"/>
  <c r="O84" i="2"/>
  <c r="N84" i="2"/>
  <c r="N88" i="2" s="1"/>
  <c r="M84" i="2"/>
  <c r="M88" i="2" s="1"/>
  <c r="L84" i="2"/>
  <c r="L88" i="2" s="1"/>
  <c r="K84" i="2"/>
  <c r="J84" i="2"/>
  <c r="I84" i="2"/>
  <c r="H84" i="2"/>
  <c r="G84" i="2"/>
  <c r="F96" i="2"/>
  <c r="F94" i="2"/>
  <c r="F92" i="2"/>
  <c r="F91" i="2"/>
  <c r="F90" i="2"/>
  <c r="F88" i="2"/>
  <c r="F87" i="2"/>
  <c r="F85" i="2"/>
  <c r="F84" i="2"/>
  <c r="E96" i="2"/>
  <c r="E94" i="2"/>
  <c r="E92" i="2"/>
  <c r="E91" i="2"/>
  <c r="E90" i="2"/>
  <c r="E88" i="2"/>
  <c r="E87" i="2"/>
  <c r="E85" i="2"/>
  <c r="E84" i="2"/>
  <c r="P57" i="2"/>
  <c r="O57" i="2"/>
  <c r="N57" i="2"/>
  <c r="M57" i="2"/>
  <c r="L57" i="2"/>
  <c r="K57" i="2"/>
  <c r="J57" i="2"/>
  <c r="J61" i="2" s="1"/>
  <c r="P60" i="2"/>
  <c r="O60" i="2"/>
  <c r="N60" i="2"/>
  <c r="M60" i="2"/>
  <c r="L60" i="2"/>
  <c r="K60" i="2"/>
  <c r="J60" i="2"/>
  <c r="P58" i="2"/>
  <c r="O58" i="2"/>
  <c r="N58" i="2"/>
  <c r="M58" i="2"/>
  <c r="L58" i="2"/>
  <c r="K58" i="2"/>
  <c r="J58" i="2"/>
  <c r="P65" i="2"/>
  <c r="P64" i="2"/>
  <c r="P63" i="2"/>
  <c r="O65" i="2"/>
  <c r="O64" i="2"/>
  <c r="O63" i="2"/>
  <c r="N65" i="2"/>
  <c r="N64" i="2"/>
  <c r="N63" i="2"/>
  <c r="M65" i="2"/>
  <c r="M64" i="2"/>
  <c r="M63" i="2"/>
  <c r="L65" i="2"/>
  <c r="L64" i="2"/>
  <c r="L63" i="2"/>
  <c r="K65" i="2"/>
  <c r="K64" i="2"/>
  <c r="K63" i="2"/>
  <c r="J65" i="2"/>
  <c r="J64" i="2"/>
  <c r="J63" i="2"/>
  <c r="I65" i="2"/>
  <c r="I64" i="2"/>
  <c r="I63" i="2"/>
  <c r="H65" i="2"/>
  <c r="H64" i="2"/>
  <c r="H63" i="2"/>
  <c r="G65" i="2"/>
  <c r="G64" i="2"/>
  <c r="G63" i="2"/>
  <c r="I60" i="2"/>
  <c r="I58" i="2"/>
  <c r="I57" i="2"/>
  <c r="I61" i="2" s="1"/>
  <c r="H60" i="2"/>
  <c r="H58" i="2"/>
  <c r="H57" i="2"/>
  <c r="G60" i="2"/>
  <c r="G58" i="2"/>
  <c r="G57" i="2"/>
  <c r="F65" i="2"/>
  <c r="F63" i="2"/>
  <c r="F64" i="2"/>
  <c r="E65" i="2"/>
  <c r="E64" i="2"/>
  <c r="E63" i="2"/>
  <c r="N61" i="2"/>
  <c r="F60" i="2"/>
  <c r="F58" i="2"/>
  <c r="F57" i="2"/>
  <c r="E60" i="2"/>
  <c r="E58" i="2"/>
  <c r="E57" i="2"/>
  <c r="O34" i="2"/>
  <c r="N34" i="2"/>
  <c r="M34" i="2"/>
  <c r="L34" i="2"/>
  <c r="K34" i="2"/>
  <c r="J34" i="2"/>
  <c r="I34" i="2"/>
  <c r="H34" i="2"/>
  <c r="G34" i="2"/>
  <c r="F34" i="2"/>
  <c r="P33" i="2"/>
  <c r="P31" i="2"/>
  <c r="P30" i="2"/>
  <c r="P38" i="2"/>
  <c r="P37" i="2"/>
  <c r="P36" i="2"/>
  <c r="O38" i="2"/>
  <c r="O37" i="2"/>
  <c r="O36" i="2"/>
  <c r="N38" i="2"/>
  <c r="N37" i="2"/>
  <c r="N36" i="2"/>
  <c r="G7" i="2"/>
  <c r="G14" i="2"/>
  <c r="P69" i="2"/>
  <c r="O69" i="2"/>
  <c r="N69" i="2"/>
  <c r="M69" i="2"/>
  <c r="L69" i="2"/>
  <c r="K69" i="2"/>
  <c r="J69" i="2"/>
  <c r="I69" i="2"/>
  <c r="P67" i="2"/>
  <c r="O67" i="2"/>
  <c r="N67" i="2"/>
  <c r="M67" i="2"/>
  <c r="L67" i="2"/>
  <c r="K67" i="2"/>
  <c r="J67" i="2"/>
  <c r="I67" i="2"/>
  <c r="H67" i="2"/>
  <c r="H69" i="2"/>
  <c r="G67" i="2"/>
  <c r="F69" i="2"/>
  <c r="G69" i="2"/>
  <c r="F67" i="2"/>
  <c r="E67" i="2"/>
  <c r="E69" i="2"/>
  <c r="P40" i="2"/>
  <c r="O40" i="2"/>
  <c r="N40" i="2"/>
  <c r="P42" i="2"/>
  <c r="O42" i="2"/>
  <c r="N42" i="2"/>
  <c r="M42" i="2"/>
  <c r="L42" i="2"/>
  <c r="K42" i="2"/>
  <c r="J42" i="2"/>
  <c r="I42" i="2"/>
  <c r="H42" i="2"/>
  <c r="G42" i="2"/>
  <c r="F42" i="2"/>
  <c r="E42" i="2"/>
  <c r="P15" i="2"/>
  <c r="O15" i="2"/>
  <c r="N15" i="2"/>
  <c r="M15" i="2"/>
  <c r="L15" i="2"/>
  <c r="K15" i="2"/>
  <c r="J15" i="2"/>
  <c r="I15" i="2"/>
  <c r="H15" i="2"/>
  <c r="G15" i="2"/>
  <c r="P7" i="2"/>
  <c r="P14" i="2" s="1"/>
  <c r="O7" i="2"/>
  <c r="O14" i="2" s="1"/>
  <c r="N7" i="2"/>
  <c r="N14" i="2" s="1"/>
  <c r="M7" i="2"/>
  <c r="M14" i="2" s="1"/>
  <c r="L7" i="2"/>
  <c r="L14" i="2" s="1"/>
  <c r="L19" i="2" s="1"/>
  <c r="K7" i="2"/>
  <c r="K14" i="2" s="1"/>
  <c r="J7" i="2"/>
  <c r="J14" i="2" s="1"/>
  <c r="J19" i="2" s="1"/>
  <c r="J23" i="2" s="1"/>
  <c r="J25" i="2" s="1"/>
  <c r="J27" i="2" s="1"/>
  <c r="I7" i="2"/>
  <c r="I14" i="2" s="1"/>
  <c r="H7" i="2"/>
  <c r="H14" i="2" s="1"/>
  <c r="F15" i="2"/>
  <c r="F7" i="2"/>
  <c r="F14" i="2" s="1"/>
  <c r="E15" i="2"/>
  <c r="E7" i="2"/>
  <c r="E14" i="2" s="1"/>
  <c r="F14" i="3" s="1"/>
  <c r="E34" i="2"/>
  <c r="F7" i="3" l="1"/>
  <c r="O19" i="2"/>
  <c r="L61" i="2"/>
  <c r="H19" i="2"/>
  <c r="H23" i="2" s="1"/>
  <c r="H25" i="2" s="1"/>
  <c r="H27" i="2" s="1"/>
  <c r="P19" i="2"/>
  <c r="P23" i="2" s="1"/>
  <c r="P25" i="2" s="1"/>
  <c r="P27" i="2" s="1"/>
  <c r="I19" i="2"/>
  <c r="I23" i="2" s="1"/>
  <c r="I25" i="2" s="1"/>
  <c r="I27" i="2" s="1"/>
  <c r="K19" i="2"/>
  <c r="K23" i="2" s="1"/>
  <c r="K25" i="2" s="1"/>
  <c r="K27" i="2" s="1"/>
  <c r="E61" i="2"/>
  <c r="P34" i="2"/>
  <c r="F61" i="2"/>
  <c r="N19" i="2"/>
  <c r="N23" i="2" s="1"/>
  <c r="N25" i="2" s="1"/>
  <c r="N27" i="2" s="1"/>
  <c r="G19" i="2"/>
  <c r="G23" i="2" s="1"/>
  <c r="G25" i="2" s="1"/>
  <c r="G27" i="2" s="1"/>
  <c r="G61" i="2"/>
  <c r="M61" i="2"/>
  <c r="M19" i="2"/>
  <c r="M23" i="2" s="1"/>
  <c r="M25" i="2" s="1"/>
  <c r="M27" i="2" s="1"/>
  <c r="K61" i="2"/>
  <c r="F19" i="2"/>
  <c r="F23" i="2" s="1"/>
  <c r="F25" i="2" s="1"/>
  <c r="F27" i="2" s="1"/>
  <c r="P61" i="2"/>
  <c r="O61" i="2"/>
  <c r="H61" i="2"/>
  <c r="O23" i="2"/>
  <c r="O25" i="2" s="1"/>
  <c r="O27" i="2" s="1"/>
  <c r="L23" i="2"/>
  <c r="L25" i="2" s="1"/>
  <c r="L27" i="2" s="1"/>
  <c r="E19" i="2"/>
  <c r="F19" i="3" s="1"/>
  <c r="E41" i="2"/>
  <c r="E46" i="2" s="1"/>
  <c r="G6" i="1"/>
  <c r="AH17" i="1"/>
  <c r="AH18" i="1" s="1"/>
  <c r="AG17" i="1"/>
  <c r="E23" i="2" l="1"/>
  <c r="E50" i="2"/>
  <c r="E52" i="2" s="1"/>
  <c r="E54" i="2" s="1"/>
  <c r="Q19" i="1"/>
  <c r="N19" i="1"/>
  <c r="K19" i="1"/>
  <c r="K29" i="1" s="1"/>
  <c r="Q18" i="1"/>
  <c r="N18" i="1"/>
  <c r="K18" i="1"/>
  <c r="Q16" i="1"/>
  <c r="N16" i="1"/>
  <c r="K16" i="1"/>
  <c r="AH8" i="1"/>
  <c r="AH11" i="1" s="1"/>
  <c r="AH10" i="1"/>
  <c r="AH5" i="1"/>
  <c r="AH7" i="1" s="1"/>
  <c r="E25" i="2" l="1"/>
  <c r="F23" i="3"/>
  <c r="AH12" i="1"/>
  <c r="G24" i="1"/>
  <c r="E24" i="1"/>
  <c r="C24" i="1"/>
  <c r="N29" i="1"/>
  <c r="H19" i="1"/>
  <c r="G19" i="1"/>
  <c r="K13" i="1"/>
  <c r="I12" i="1"/>
  <c r="H12" i="1"/>
  <c r="G12" i="1"/>
  <c r="K5" i="1"/>
  <c r="N5" i="1"/>
  <c r="Q5" i="1"/>
  <c r="X29" i="1"/>
  <c r="X22" i="1"/>
  <c r="X23" i="1" s="1"/>
  <c r="X6" i="1"/>
  <c r="X5" i="1"/>
  <c r="X4" i="1"/>
  <c r="X3" i="1"/>
  <c r="X2" i="1"/>
  <c r="V7" i="1"/>
  <c r="E27" i="2" l="1"/>
  <c r="F27" i="3" s="1"/>
  <c r="F25" i="3"/>
  <c r="X7" i="1"/>
  <c r="X10" i="1" s="1"/>
  <c r="X13" i="1" s="1"/>
  <c r="Q9" i="1"/>
  <c r="Q7" i="1"/>
  <c r="N13" i="1"/>
  <c r="N7" i="1"/>
  <c r="Q6" i="1"/>
  <c r="K9" i="1"/>
  <c r="K7" i="1"/>
  <c r="Q13" i="1"/>
  <c r="Q14" i="1"/>
  <c r="N14" i="1"/>
  <c r="K14" i="1"/>
  <c r="N9" i="1"/>
  <c r="N6" i="1"/>
  <c r="Q29" i="1"/>
  <c r="K6" i="1"/>
  <c r="Q10" i="1" l="1"/>
  <c r="Q21" i="1" s="1"/>
  <c r="R21" i="1" s="1"/>
  <c r="K10" i="1"/>
  <c r="L16" i="1" s="1"/>
  <c r="N10" i="1"/>
  <c r="N15" i="1" s="1"/>
  <c r="Q12" i="1"/>
  <c r="N12" i="1"/>
  <c r="K12" i="1"/>
  <c r="O15" i="1" l="1"/>
  <c r="E66" i="2"/>
  <c r="E68" i="2" s="1"/>
  <c r="E73" i="2" s="1"/>
  <c r="R14" i="1"/>
  <c r="O19" i="1"/>
  <c r="Q20" i="1"/>
  <c r="R20" i="1" s="1"/>
  <c r="O14" i="1"/>
  <c r="R13" i="1"/>
  <c r="K20" i="1"/>
  <c r="O18" i="1"/>
  <c r="O13" i="1"/>
  <c r="N21" i="1"/>
  <c r="O21" i="1" s="1"/>
  <c r="K15" i="1"/>
  <c r="L14" i="1"/>
  <c r="L18" i="1"/>
  <c r="R18" i="1"/>
  <c r="Q15" i="1"/>
  <c r="R19" i="1"/>
  <c r="R16" i="1"/>
  <c r="O16" i="1"/>
  <c r="L13" i="1"/>
  <c r="L19" i="1"/>
  <c r="N20" i="1"/>
  <c r="O20" i="1" s="1"/>
  <c r="K21" i="1"/>
  <c r="N17" i="1"/>
  <c r="R12" i="1"/>
  <c r="L12" i="1"/>
  <c r="O12" i="1"/>
  <c r="N24" i="1"/>
  <c r="E77" i="2" l="1"/>
  <c r="E78" i="2" s="1"/>
  <c r="E79" i="2"/>
  <c r="R15" i="1"/>
  <c r="N120" i="2"/>
  <c r="N122" i="2" s="1"/>
  <c r="N127" i="2" s="1"/>
  <c r="N131" i="2" s="1"/>
  <c r="F120" i="2"/>
  <c r="F122" i="2" s="1"/>
  <c r="F127" i="2" s="1"/>
  <c r="F131" i="2" s="1"/>
  <c r="N93" i="2"/>
  <c r="N95" i="2" s="1"/>
  <c r="N100" i="2" s="1"/>
  <c r="N104" i="2" s="1"/>
  <c r="M120" i="2"/>
  <c r="M122" i="2" s="1"/>
  <c r="M127" i="2" s="1"/>
  <c r="M131" i="2" s="1"/>
  <c r="E120" i="2"/>
  <c r="E122" i="2" s="1"/>
  <c r="E127" i="2" s="1"/>
  <c r="M93" i="2"/>
  <c r="M95" i="2" s="1"/>
  <c r="M100" i="2" s="1"/>
  <c r="M104" i="2" s="1"/>
  <c r="P66" i="2"/>
  <c r="P68" i="2" s="1"/>
  <c r="P73" i="2" s="1"/>
  <c r="P77" i="2" s="1"/>
  <c r="N66" i="2"/>
  <c r="N68" i="2" s="1"/>
  <c r="N73" i="2" s="1"/>
  <c r="N77" i="2" s="1"/>
  <c r="L66" i="2"/>
  <c r="L68" i="2" s="1"/>
  <c r="L73" i="2" s="1"/>
  <c r="L77" i="2" s="1"/>
  <c r="J66" i="2"/>
  <c r="J68" i="2" s="1"/>
  <c r="J73" i="2" s="1"/>
  <c r="J77" i="2" s="1"/>
  <c r="H66" i="2"/>
  <c r="H68" i="2" s="1"/>
  <c r="H73" i="2" s="1"/>
  <c r="H77" i="2" s="1"/>
  <c r="K66" i="2"/>
  <c r="K68" i="2" s="1"/>
  <c r="K73" i="2" s="1"/>
  <c r="K77" i="2" s="1"/>
  <c r="P120" i="2"/>
  <c r="P122" i="2" s="1"/>
  <c r="P127" i="2" s="1"/>
  <c r="P131" i="2" s="1"/>
  <c r="P93" i="2"/>
  <c r="P95" i="2" s="1"/>
  <c r="P100" i="2" s="1"/>
  <c r="P104" i="2" s="1"/>
  <c r="G93" i="2"/>
  <c r="G95" i="2" s="1"/>
  <c r="G100" i="2" s="1"/>
  <c r="G104" i="2" s="1"/>
  <c r="L120" i="2"/>
  <c r="L122" i="2" s="1"/>
  <c r="L127" i="2" s="1"/>
  <c r="L131" i="2" s="1"/>
  <c r="L93" i="2"/>
  <c r="L95" i="2" s="1"/>
  <c r="L100" i="2" s="1"/>
  <c r="L104" i="2" s="1"/>
  <c r="F93" i="2"/>
  <c r="F95" i="2" s="1"/>
  <c r="F100" i="2" s="1"/>
  <c r="F104" i="2" s="1"/>
  <c r="F66" i="2"/>
  <c r="F68" i="2" s="1"/>
  <c r="F73" i="2" s="1"/>
  <c r="F77" i="2" s="1"/>
  <c r="I66" i="2"/>
  <c r="I68" i="2" s="1"/>
  <c r="I73" i="2" s="1"/>
  <c r="I77" i="2" s="1"/>
  <c r="H120" i="2"/>
  <c r="H122" i="2" s="1"/>
  <c r="H127" i="2" s="1"/>
  <c r="H131" i="2" s="1"/>
  <c r="G120" i="2"/>
  <c r="G122" i="2" s="1"/>
  <c r="G127" i="2" s="1"/>
  <c r="G131" i="2" s="1"/>
  <c r="K120" i="2"/>
  <c r="K122" i="2" s="1"/>
  <c r="K127" i="2" s="1"/>
  <c r="K131" i="2" s="1"/>
  <c r="K93" i="2"/>
  <c r="K95" i="2" s="1"/>
  <c r="K100" i="2" s="1"/>
  <c r="K104" i="2" s="1"/>
  <c r="O66" i="2"/>
  <c r="O68" i="2" s="1"/>
  <c r="O73" i="2" s="1"/>
  <c r="O77" i="2" s="1"/>
  <c r="G66" i="2"/>
  <c r="G68" i="2" s="1"/>
  <c r="G73" i="2" s="1"/>
  <c r="G77" i="2" s="1"/>
  <c r="J120" i="2"/>
  <c r="J122" i="2" s="1"/>
  <c r="J127" i="2" s="1"/>
  <c r="J131" i="2" s="1"/>
  <c r="J93" i="2"/>
  <c r="J95" i="2" s="1"/>
  <c r="J100" i="2" s="1"/>
  <c r="J104" i="2" s="1"/>
  <c r="E93" i="2"/>
  <c r="E95" i="2" s="1"/>
  <c r="E100" i="2" s="1"/>
  <c r="I120" i="2"/>
  <c r="I122" i="2" s="1"/>
  <c r="I127" i="2" s="1"/>
  <c r="I131" i="2" s="1"/>
  <c r="I93" i="2"/>
  <c r="I95" i="2" s="1"/>
  <c r="I100" i="2" s="1"/>
  <c r="I104" i="2" s="1"/>
  <c r="M66" i="2"/>
  <c r="M68" i="2" s="1"/>
  <c r="M73" i="2" s="1"/>
  <c r="M77" i="2" s="1"/>
  <c r="H93" i="2"/>
  <c r="H95" i="2" s="1"/>
  <c r="H100" i="2" s="1"/>
  <c r="H104" i="2" s="1"/>
  <c r="O120" i="2"/>
  <c r="O122" i="2" s="1"/>
  <c r="O127" i="2" s="1"/>
  <c r="O131" i="2" s="1"/>
  <c r="O93" i="2"/>
  <c r="O95" i="2" s="1"/>
  <c r="O100" i="2" s="1"/>
  <c r="O104" i="2" s="1"/>
  <c r="L20" i="1"/>
  <c r="N44" i="2"/>
  <c r="O44" i="2"/>
  <c r="P44" i="2"/>
  <c r="L21" i="1"/>
  <c r="O45" i="2"/>
  <c r="P45" i="2"/>
  <c r="N45" i="2"/>
  <c r="L15" i="1"/>
  <c r="O39" i="2"/>
  <c r="O41" i="2" s="1"/>
  <c r="N39" i="2"/>
  <c r="N41" i="2" s="1"/>
  <c r="P39" i="2"/>
  <c r="P41" i="2" s="1"/>
  <c r="K24" i="1"/>
  <c r="K17" i="1"/>
  <c r="L17" i="1" s="1"/>
  <c r="Q24" i="1"/>
  <c r="Q17" i="1"/>
  <c r="Q22" i="1" s="1"/>
  <c r="Q31" i="1" s="1"/>
  <c r="N22" i="1"/>
  <c r="O17" i="1"/>
  <c r="H132" i="2" l="1"/>
  <c r="H133" i="2" s="1"/>
  <c r="H135" i="2" s="1"/>
  <c r="E131" i="2"/>
  <c r="E132" i="2" s="1"/>
  <c r="J19" i="3"/>
  <c r="M132" i="2"/>
  <c r="M133" i="2" s="1"/>
  <c r="M135" i="2" s="1"/>
  <c r="O132" i="2"/>
  <c r="O133" i="2" s="1"/>
  <c r="O135" i="2" s="1"/>
  <c r="F132" i="2"/>
  <c r="F133" i="2" s="1"/>
  <c r="F135" i="2" s="1"/>
  <c r="N132" i="2"/>
  <c r="N133" i="2" s="1"/>
  <c r="N135" i="2" s="1"/>
  <c r="L132" i="2"/>
  <c r="L133" i="2" s="1"/>
  <c r="L135" i="2" s="1"/>
  <c r="P132" i="2"/>
  <c r="P133" i="2" s="1"/>
  <c r="P135" i="2" s="1"/>
  <c r="J132" i="2"/>
  <c r="J133" i="2" s="1"/>
  <c r="J135" i="2" s="1"/>
  <c r="K132" i="2"/>
  <c r="K133" i="2" s="1"/>
  <c r="K135" i="2" s="1"/>
  <c r="I132" i="2"/>
  <c r="I133" i="2" s="1"/>
  <c r="I135" i="2" s="1"/>
  <c r="G132" i="2"/>
  <c r="G133" i="2" s="1"/>
  <c r="G135" i="2" s="1"/>
  <c r="H105" i="2"/>
  <c r="H106" i="2" s="1"/>
  <c r="H108" i="2" s="1"/>
  <c r="K105" i="2"/>
  <c r="K106" i="2" s="1"/>
  <c r="K108" i="2" s="1"/>
  <c r="J105" i="2"/>
  <c r="J106" i="2" s="1"/>
  <c r="J108" i="2" s="1"/>
  <c r="N105" i="2"/>
  <c r="N106" i="2" s="1"/>
  <c r="N108" i="2" s="1"/>
  <c r="I105" i="2"/>
  <c r="G105" i="2"/>
  <c r="G106" i="2" s="1"/>
  <c r="G108" i="2" s="1"/>
  <c r="E104" i="2"/>
  <c r="E105" i="2" s="1"/>
  <c r="I19" i="3"/>
  <c r="O105" i="2"/>
  <c r="O106" i="2" s="1"/>
  <c r="O108" i="2" s="1"/>
  <c r="F105" i="2"/>
  <c r="F106" i="2" s="1"/>
  <c r="F108" i="2" s="1"/>
  <c r="L105" i="2"/>
  <c r="L106" i="2" s="1"/>
  <c r="L108" i="2" s="1"/>
  <c r="P105" i="2"/>
  <c r="P106" i="2" s="1"/>
  <c r="P108" i="2" s="1"/>
  <c r="M105" i="2"/>
  <c r="M106" i="2" s="1"/>
  <c r="M108" i="2" s="1"/>
  <c r="J78" i="2"/>
  <c r="J79" i="2" s="1"/>
  <c r="J81" i="2" s="1"/>
  <c r="G78" i="2"/>
  <c r="G79" i="2" s="1"/>
  <c r="G81" i="2" s="1"/>
  <c r="L78" i="2"/>
  <c r="L79" i="2" s="1"/>
  <c r="L81" i="2" s="1"/>
  <c r="I78" i="2"/>
  <c r="I79" i="2" s="1"/>
  <c r="I81" i="2" s="1"/>
  <c r="N78" i="2"/>
  <c r="N79" i="2" s="1"/>
  <c r="N81" i="2" s="1"/>
  <c r="H78" i="2"/>
  <c r="H79" i="2" s="1"/>
  <c r="H81" i="2" s="1"/>
  <c r="K78" i="2"/>
  <c r="K79" i="2" s="1"/>
  <c r="K81" i="2" s="1"/>
  <c r="O78" i="2"/>
  <c r="O79" i="2" s="1"/>
  <c r="O81" i="2" s="1"/>
  <c r="M78" i="2"/>
  <c r="M79" i="2" s="1"/>
  <c r="M81" i="2" s="1"/>
  <c r="P78" i="2"/>
  <c r="P79" i="2" s="1"/>
  <c r="P81" i="2" s="1"/>
  <c r="F78" i="2"/>
  <c r="F79" i="2" s="1"/>
  <c r="H19" i="3"/>
  <c r="E133" i="2"/>
  <c r="J23" i="3"/>
  <c r="E106" i="2"/>
  <c r="I23" i="3"/>
  <c r="H23" i="3"/>
  <c r="E81" i="2"/>
  <c r="P46" i="2"/>
  <c r="P50" i="2" s="1"/>
  <c r="O46" i="2"/>
  <c r="O50" i="2" s="1"/>
  <c r="O52" i="2" s="1"/>
  <c r="O54" i="2" s="1"/>
  <c r="N46" i="2"/>
  <c r="N50" i="2" s="1"/>
  <c r="K22" i="1"/>
  <c r="L22" i="1" s="1"/>
  <c r="R17" i="1"/>
  <c r="R22" i="1"/>
  <c r="Q26" i="1"/>
  <c r="Q27" i="1" s="1"/>
  <c r="Q28" i="1" s="1"/>
  <c r="Q30" i="1" s="1"/>
  <c r="O22" i="1"/>
  <c r="N31" i="1"/>
  <c r="N26" i="1"/>
  <c r="N27" i="1" s="1"/>
  <c r="N28" i="1" s="1"/>
  <c r="N30" i="1" s="1"/>
  <c r="J24" i="3" l="1"/>
  <c r="I24" i="3"/>
  <c r="I106" i="2"/>
  <c r="I108" i="2" s="1"/>
  <c r="F81" i="2"/>
  <c r="H27" i="3" s="1"/>
  <c r="H25" i="3"/>
  <c r="H24" i="3"/>
  <c r="E135" i="2"/>
  <c r="J27" i="3" s="1"/>
  <c r="J25" i="3"/>
  <c r="E108" i="2"/>
  <c r="I25" i="3"/>
  <c r="N52" i="2"/>
  <c r="G23" i="3"/>
  <c r="K26" i="1"/>
  <c r="K27" i="1" s="1"/>
  <c r="K31" i="1"/>
  <c r="I27" i="3" l="1"/>
  <c r="N54" i="2"/>
  <c r="K28" i="1"/>
  <c r="K30" i="1" s="1"/>
  <c r="P52" i="2"/>
  <c r="P54" i="2" s="1"/>
  <c r="G25" i="3" l="1"/>
  <c r="G2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tc={5F4F1939-DAE8-C641-AC16-431C51ED76E2}</author>
    <author>tc={B030B67D-F195-6E46-A355-0EB66A706FAB}</author>
    <author>tc={E3484869-709C-3E43-B039-79233B0A4646}</author>
    <author>tc={15AB73C8-369F-5F43-98F3-A3F09A9B5847}</author>
    <author>tc={DBA48C15-7DFF-874F-A001-99AA47D5EAC5}</author>
    <author>tc={4CDC9155-94B2-6949-88E5-772C25C19DEA}</author>
    <author>tc={4E309AA7-7D2E-FD4C-B299-EA70FF66EBE5}</author>
    <author>tc={77AE5702-31F1-3949-A7C5-7B793EBEE13B}</author>
    <author>tc={B4F6293C-975B-984D-A64D-E98AD28739C3}</author>
    <author>tc={1AEC267B-0A6C-1A49-92CE-57A0F3AE83EE}</author>
    <author>tc={9C33B964-06BD-AA42-AB7B-56FEE997B69A}</author>
    <author>tc={AB853CB0-8E5E-7945-B2BD-028D11517ECB}</author>
    <author>tc={14865709-673D-F341-9B1E-3FE39624AF3F}</author>
  </authors>
  <commentList>
    <comment ref="F12" authorId="0" shapeId="0" xr:uid="{5F4F1939-DAE8-C641-AC16-431C51ED76E2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50% deposit machines</t>
      </text>
    </comment>
    <comment ref="E15" authorId="1" shapeId="0" xr:uid="{B030B67D-F195-6E46-A355-0EB66A706FAB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CEO half</t>
      </text>
    </comment>
    <comment ref="G15" authorId="2" shapeId="0" xr:uid="{E3484869-709C-3E43-B039-79233B0A4646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CEO half, wooden engineer</t>
      </text>
    </comment>
    <comment ref="J17" authorId="3" shapeId="0" xr:uid="{15AB73C8-369F-5F43-98F3-A3F09A9B5847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buy land, building-costs</t>
      </text>
    </comment>
    <comment ref="E18" authorId="4" shapeId="0" xr:uid="{DBA48C15-7DFF-874F-A001-99AA47D5EAC5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office, software, lawyer, architect, fees, commercial</t>
      </text>
    </comment>
    <comment ref="O18" authorId="5" shapeId="0" xr:uid="{4CDC9155-94B2-6949-88E5-772C25C19DE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office, software development, lawyer, architect, fees, commercial</t>
      </text>
    </comment>
    <comment ref="M39" authorId="6" shapeId="0" xr:uid="{4E309AA7-7D2E-FD4C-B299-EA70FF66EBE5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final payment machinery</t>
      </text>
    </comment>
    <comment ref="N40" authorId="7" shapeId="0" xr:uid="{77AE5702-31F1-3949-A7C5-7B793EBEE13B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shift 1</t>
      </text>
    </comment>
    <comment ref="K42" authorId="8" shapeId="0" xr:uid="{B4F6293C-975B-984D-A64D-E98AD28739C3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CEO half, 2x wooden engineer</t>
      </text>
    </comment>
    <comment ref="N42" authorId="9" shapeId="0" xr:uid="{1AEC267B-0A6C-1A49-92CE-57A0F3AE83EE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CEO half, 2x wooden engineer, 10x sales persons, 2x finance &amp; human resources</t>
      </text>
    </comment>
    <comment ref="E67" authorId="10" shapeId="0" xr:uid="{9C33B964-06BD-AA42-AB7B-56FEE997B69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shift 1, shift 2</t>
      </text>
    </comment>
    <comment ref="F67" authorId="11" shapeId="0" xr:uid="{AB853CB0-8E5E-7945-B2BD-028D11517ECB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shift 1, shift 2, shift 3</t>
      </text>
    </comment>
    <comment ref="G69" authorId="12" shapeId="0" xr:uid="{14865709-673D-F341-9B1E-3FE39624AF3F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CEO full, 2x wooden engineer, 10x sales persons, 2x finance &amp; human resources</t>
      </text>
    </comment>
  </commentList>
</comments>
</file>

<file path=xl/sharedStrings.xml><?xml version="1.0" encoding="utf-8"?>
<sst xmlns="http://schemas.openxmlformats.org/spreadsheetml/2006/main" count="491" uniqueCount="152">
  <si>
    <t>structure element</t>
  </si>
  <si>
    <t>yield</t>
  </si>
  <si>
    <t>by-prod.</t>
  </si>
  <si>
    <t>portion</t>
  </si>
  <si>
    <r>
      <t>m</t>
    </r>
    <r>
      <rPr>
        <vertAlign val="superscript"/>
        <sz val="12"/>
        <color theme="1"/>
        <rFont val="Calibri (Textkörper)"/>
      </rPr>
      <t>3</t>
    </r>
  </si>
  <si>
    <r>
      <t>$/m</t>
    </r>
    <r>
      <rPr>
        <vertAlign val="superscript"/>
        <sz val="12"/>
        <color theme="1"/>
        <rFont val="Calibri (Textkörper)"/>
      </rPr>
      <t>3</t>
    </r>
  </si>
  <si>
    <t>sale</t>
  </si>
  <si>
    <t>78-80%</t>
  </si>
  <si>
    <t>cost of sale</t>
  </si>
  <si>
    <t>glue</t>
  </si>
  <si>
    <t>electricity</t>
  </si>
  <si>
    <t>connected load</t>
  </si>
  <si>
    <t>simultaneously factor</t>
  </si>
  <si>
    <t>cost/h</t>
  </si>
  <si>
    <t>$/kWh</t>
  </si>
  <si>
    <t>kW</t>
  </si>
  <si>
    <t>$/h</t>
  </si>
  <si>
    <t>shift hrs</t>
  </si>
  <si>
    <t>raw material</t>
  </si>
  <si>
    <t>energie</t>
  </si>
  <si>
    <t>machinery</t>
  </si>
  <si>
    <t>hall</t>
  </si>
  <si>
    <t>interest</t>
  </si>
  <si>
    <t>land</t>
  </si>
  <si>
    <t>total</t>
  </si>
  <si>
    <t>fixed assets</t>
  </si>
  <si>
    <t>current assets</t>
  </si>
  <si>
    <t xml:space="preserve">month </t>
  </si>
  <si>
    <t>CEO</t>
  </si>
  <si>
    <t>costs</t>
  </si>
  <si>
    <t>quantity</t>
  </si>
  <si>
    <t>lower qualified workers</t>
  </si>
  <si>
    <t>production</t>
  </si>
  <si>
    <t>administration</t>
  </si>
  <si>
    <t>sales</t>
  </si>
  <si>
    <t>enginiering</t>
  </si>
  <si>
    <t>shift 1</t>
  </si>
  <si>
    <t>shift 2</t>
  </si>
  <si>
    <t>shift 3</t>
  </si>
  <si>
    <t>buildings</t>
  </si>
  <si>
    <t>nature of expense method</t>
  </si>
  <si>
    <t>profit and loss</t>
  </si>
  <si>
    <t>1.</t>
  </si>
  <si>
    <t>2.</t>
  </si>
  <si>
    <t>3.</t>
  </si>
  <si>
    <r>
      <t>raw wood dry [1000 m</t>
    </r>
    <r>
      <rPr>
        <vertAlign val="superscript"/>
        <sz val="12"/>
        <color theme="1"/>
        <rFont val="Calibri (Textkörper)"/>
      </rPr>
      <t>3</t>
    </r>
    <r>
      <rPr>
        <sz val="12"/>
        <color theme="1"/>
        <rFont val="Calibri (Textkörper)"/>
      </rPr>
      <t>]</t>
    </r>
    <r>
      <rPr>
        <sz val="12"/>
        <color theme="1"/>
        <rFont val="Calibri"/>
        <family val="2"/>
        <scheme val="minor"/>
      </rPr>
      <t xml:space="preserve"> </t>
    </r>
  </si>
  <si>
    <r>
      <t>clt elements [1000 m</t>
    </r>
    <r>
      <rPr>
        <vertAlign val="superscript"/>
        <sz val="12"/>
        <color theme="1"/>
        <rFont val="Calibri (Textkörper)"/>
      </rPr>
      <t>3</t>
    </r>
    <r>
      <rPr>
        <sz val="12"/>
        <color theme="1"/>
        <rFont val="Calibri"/>
        <family val="2"/>
        <scheme val="minor"/>
      </rPr>
      <t xml:space="preserve">] </t>
    </r>
  </si>
  <si>
    <t>4.</t>
  </si>
  <si>
    <t>5.</t>
  </si>
  <si>
    <t>6.</t>
  </si>
  <si>
    <t>other operating income -saw dust and other waste</t>
  </si>
  <si>
    <t>sales plus changes in inventories</t>
  </si>
  <si>
    <t>cost of materials and services</t>
  </si>
  <si>
    <t>a)</t>
  </si>
  <si>
    <t>b)</t>
  </si>
  <si>
    <t>c)</t>
  </si>
  <si>
    <t>d)</t>
  </si>
  <si>
    <t>6-8%</t>
  </si>
  <si>
    <t>cost of materials -glue approx. 6-8%</t>
  </si>
  <si>
    <t>fabrication days</t>
  </si>
  <si>
    <t>other cost of materials and services</t>
  </si>
  <si>
    <t>shifts</t>
  </si>
  <si>
    <t>7.</t>
  </si>
  <si>
    <t xml:space="preserve">gross profit </t>
  </si>
  <si>
    <t>personnel expenses</t>
  </si>
  <si>
    <t>8.</t>
  </si>
  <si>
    <t>9.</t>
  </si>
  <si>
    <t>10.</t>
  </si>
  <si>
    <t>other operation expenses</t>
  </si>
  <si>
    <t>selling and distribution costs</t>
  </si>
  <si>
    <t>11.</t>
  </si>
  <si>
    <t xml:space="preserve">earnings before interest and tax (EBIT) </t>
  </si>
  <si>
    <t>12.</t>
  </si>
  <si>
    <t>investment income / expense</t>
  </si>
  <si>
    <t>13.</t>
  </si>
  <si>
    <t>month</t>
  </si>
  <si>
    <t>14.</t>
  </si>
  <si>
    <t>other financial income / expense</t>
  </si>
  <si>
    <t>15.</t>
  </si>
  <si>
    <t>earning before tax (EBT)</t>
  </si>
  <si>
    <t>16.</t>
  </si>
  <si>
    <t>taxes on income</t>
  </si>
  <si>
    <t>17.</t>
  </si>
  <si>
    <t>profit for the period (P/P)</t>
  </si>
  <si>
    <t>18.</t>
  </si>
  <si>
    <t>+ depreciation and amortisation of fixed assets</t>
  </si>
  <si>
    <t>19.</t>
  </si>
  <si>
    <t xml:space="preserve">cash-flow p.a. before investment </t>
  </si>
  <si>
    <t>20.</t>
  </si>
  <si>
    <r>
      <t>cost of materials -raw wood dry: AB, C, CL [$/m</t>
    </r>
    <r>
      <rPr>
        <vertAlign val="superscript"/>
        <sz val="12"/>
        <color theme="1"/>
        <rFont val="Calibri (Textkörper)"/>
      </rPr>
      <t>3</t>
    </r>
    <r>
      <rPr>
        <sz val="12"/>
        <color theme="1"/>
        <rFont val="Calibri"/>
        <family val="2"/>
        <scheme val="minor"/>
      </rPr>
      <t>]</t>
    </r>
  </si>
  <si>
    <r>
      <t>revenues: pine residential quality AB [$/m</t>
    </r>
    <r>
      <rPr>
        <b/>
        <vertAlign val="superscript"/>
        <sz val="12"/>
        <color theme="1"/>
        <rFont val="Calibri (Textkörper)"/>
      </rPr>
      <t>3</t>
    </r>
    <r>
      <rPr>
        <b/>
        <sz val="12"/>
        <color theme="1"/>
        <rFont val="Calibri"/>
        <family val="2"/>
        <scheme val="minor"/>
      </rPr>
      <t>]</t>
    </r>
  </si>
  <si>
    <t>Aircondition</t>
  </si>
  <si>
    <t>width</t>
  </si>
  <si>
    <t>height</t>
  </si>
  <si>
    <t>consumption</t>
  </si>
  <si>
    <r>
      <t>W/m</t>
    </r>
    <r>
      <rPr>
        <vertAlign val="superscript"/>
        <sz val="12"/>
        <color theme="1"/>
        <rFont val="Calibri (Textkörper)"/>
      </rPr>
      <t>3</t>
    </r>
  </si>
  <si>
    <t>power</t>
  </si>
  <si>
    <t>hrs/day</t>
  </si>
  <si>
    <t>fd</t>
  </si>
  <si>
    <t>day</t>
  </si>
  <si>
    <t>year</t>
  </si>
  <si>
    <t>cost of energy - electrical production and A/C</t>
  </si>
  <si>
    <t xml:space="preserve">Return on Capital (ROC) </t>
  </si>
  <si>
    <t>finance / human resources</t>
  </si>
  <si>
    <t>length</t>
  </si>
  <si>
    <t>e)</t>
  </si>
  <si>
    <t>personnel expenses produktion</t>
  </si>
  <si>
    <t>depreciation and amortisation of fixed assets  (machinery, buildings)</t>
  </si>
  <si>
    <t xml:space="preserve">CLT plant - in advance - </t>
  </si>
  <si>
    <t>factor [$1000]</t>
  </si>
  <si>
    <t>CNC joinery</t>
  </si>
  <si>
    <t>simple</t>
  </si>
  <si>
    <t>complex</t>
  </si>
  <si>
    <t>ordered</t>
  </si>
  <si>
    <t>revenues</t>
  </si>
  <si>
    <t>year 2</t>
  </si>
  <si>
    <t>year 1</t>
  </si>
  <si>
    <t>year 5</t>
  </si>
  <si>
    <t>year 4</t>
  </si>
  <si>
    <t>year 3</t>
  </si>
  <si>
    <t>Jan 13</t>
  </si>
  <si>
    <t>Jan 1</t>
  </si>
  <si>
    <t>Feb 2</t>
  </si>
  <si>
    <t>May 5</t>
  </si>
  <si>
    <t>Jun 6</t>
  </si>
  <si>
    <t>Jul 7</t>
  </si>
  <si>
    <t>Aug 8</t>
  </si>
  <si>
    <t>Sep 9</t>
  </si>
  <si>
    <t>Oct 10</t>
  </si>
  <si>
    <t>Nov 11</t>
  </si>
  <si>
    <t>Dec 12</t>
  </si>
  <si>
    <t>Feb 14</t>
  </si>
  <si>
    <t>Mar 15</t>
  </si>
  <si>
    <t>Mar 3</t>
  </si>
  <si>
    <t>Apr 4</t>
  </si>
  <si>
    <t>Apr 16</t>
  </si>
  <si>
    <t>May 17</t>
  </si>
  <si>
    <t>Jun 18</t>
  </si>
  <si>
    <t>Jul 19</t>
  </si>
  <si>
    <t>Aug 20</t>
  </si>
  <si>
    <t>Sep 21</t>
  </si>
  <si>
    <t>Oct 22</t>
  </si>
  <si>
    <t>Dec 24</t>
  </si>
  <si>
    <t>Nov 23</t>
  </si>
  <si>
    <t>deposit investor</t>
  </si>
  <si>
    <t>500000 ??</t>
  </si>
  <si>
    <t>foreman</t>
  </si>
  <si>
    <t>Return on Capital (ROC)</t>
  </si>
  <si>
    <t>Investment</t>
  </si>
  <si>
    <t>$ x 1000</t>
  </si>
  <si>
    <t>total personal expenses</t>
  </si>
  <si>
    <t>total costs of production and administration without personal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</si>
</sst>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_-* #,##0\ _€_-;\-* #,##0\ _€_-;_-* &quot;-&quot;??\ _€_-;_-@_-"/>
  </numFmts>
  <fonts count="1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(Textkörper)"/>
    </font>
    <font>
      <vertAlign val="superscript"/>
      <sz val="12"/>
      <color theme="1"/>
      <name val="Calibri (Textkörper)"/>
    </font>
    <font>
      <sz val="12"/>
      <color rgb="FF0070C0"/>
      <name val="Calibri"/>
      <family val="2"/>
      <scheme val="minor"/>
    </font>
    <font>
      <sz val="10"/>
      <color theme="1"/>
      <name val="Calibri (Textkörper)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theme="1"/>
      <name val="Calibri (Textkörper)"/>
    </font>
    <font>
      <b/>
      <sz val="10"/>
      <color theme="1"/>
      <name val="Calibri"/>
      <family val="2"/>
      <scheme val="minor"/>
    </font>
    <font>
      <sz val="12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horizontal="right"/>
    </xf>
    <xf numFmtId="9" fontId="0" fillId="2" borderId="3" xfId="0" applyNumberFormat="1" applyFill="1" applyBorder="1"/>
    <xf numFmtId="0" fontId="0" fillId="2" borderId="4" xfId="0" applyFill="1" applyBorder="1"/>
    <xf numFmtId="9" fontId="0" fillId="2" borderId="5" xfId="0" applyNumberFormat="1" applyFill="1" applyBorder="1"/>
    <xf numFmtId="0" fontId="0" fillId="2" borderId="6" xfId="0" applyFill="1" applyBorder="1"/>
    <xf numFmtId="9" fontId="0" fillId="2" borderId="7" xfId="0" applyNumberFormat="1" applyFill="1" applyBorder="1"/>
    <xf numFmtId="0" fontId="0" fillId="2" borderId="8" xfId="0" applyFill="1" applyBorder="1" applyAlignment="1">
      <alignment horizontal="right"/>
    </xf>
    <xf numFmtId="0" fontId="2" fillId="0" borderId="2" xfId="0" applyFont="1" applyBorder="1"/>
    <xf numFmtId="0" fontId="6" fillId="2" borderId="9" xfId="0" applyFont="1" applyFill="1" applyBorder="1"/>
    <xf numFmtId="0" fontId="0" fillId="0" borderId="10" xfId="0" applyBorder="1"/>
    <xf numFmtId="0" fontId="0" fillId="0" borderId="12" xfId="0" applyBorder="1"/>
    <xf numFmtId="0" fontId="2" fillId="0" borderId="13" xfId="0" applyFont="1" applyBorder="1"/>
    <xf numFmtId="0" fontId="0" fillId="0" borderId="13" xfId="0" applyBorder="1"/>
    <xf numFmtId="9" fontId="2" fillId="0" borderId="18" xfId="0" applyNumberFormat="1" applyFont="1" applyBorder="1"/>
    <xf numFmtId="0" fontId="2" fillId="0" borderId="21" xfId="0" applyFont="1" applyBorder="1"/>
    <xf numFmtId="0" fontId="0" fillId="2" borderId="21" xfId="0" applyFill="1" applyBorder="1" applyAlignment="1">
      <alignment horizontal="right"/>
    </xf>
    <xf numFmtId="0" fontId="0" fillId="2" borderId="17" xfId="0" applyFill="1" applyBorder="1"/>
    <xf numFmtId="0" fontId="0" fillId="2" borderId="12" xfId="0" applyFill="1" applyBorder="1"/>
    <xf numFmtId="0" fontId="0" fillId="2" borderId="20" xfId="0" applyFill="1" applyBorder="1"/>
    <xf numFmtId="0" fontId="0" fillId="2" borderId="14" xfId="0" applyFill="1" applyBorder="1"/>
    <xf numFmtId="0" fontId="7" fillId="2" borderId="18" xfId="0" applyFont="1" applyFill="1" applyBorder="1" applyAlignment="1">
      <alignment horizontal="right"/>
    </xf>
    <xf numFmtId="0" fontId="0" fillId="2" borderId="13" xfId="0" applyFill="1" applyBorder="1"/>
    <xf numFmtId="0" fontId="0" fillId="2" borderId="15" xfId="0" applyFill="1" applyBorder="1"/>
    <xf numFmtId="9" fontId="6" fillId="2" borderId="15" xfId="2" applyFont="1" applyFill="1" applyBorder="1"/>
    <xf numFmtId="1" fontId="6" fillId="2" borderId="23" xfId="0" applyNumberFormat="1" applyFont="1" applyFill="1" applyBorder="1"/>
    <xf numFmtId="0" fontId="2" fillId="0" borderId="18" xfId="0" applyFont="1" applyBorder="1"/>
    <xf numFmtId="0" fontId="0" fillId="0" borderId="0" xfId="0" applyBorder="1"/>
    <xf numFmtId="0" fontId="0" fillId="2" borderId="11" xfId="0" applyFill="1" applyBorder="1" applyAlignment="1">
      <alignment horizontal="right"/>
    </xf>
    <xf numFmtId="0" fontId="0" fillId="2" borderId="10" xfId="0" applyFill="1" applyBorder="1"/>
    <xf numFmtId="9" fontId="6" fillId="2" borderId="15" xfId="0" applyNumberFormat="1" applyFont="1" applyFill="1" applyBorder="1"/>
    <xf numFmtId="0" fontId="0" fillId="0" borderId="22" xfId="0" applyBorder="1"/>
    <xf numFmtId="0" fontId="0" fillId="2" borderId="0" xfId="0" applyFill="1" applyBorder="1"/>
    <xf numFmtId="0" fontId="6" fillId="0" borderId="0" xfId="0" applyFont="1"/>
    <xf numFmtId="9" fontId="2" fillId="0" borderId="0" xfId="2" applyFont="1" applyBorder="1"/>
    <xf numFmtId="0" fontId="0" fillId="2" borderId="13" xfId="0" applyFill="1" applyBorder="1" applyAlignment="1">
      <alignment horizontal="right"/>
    </xf>
    <xf numFmtId="0" fontId="2" fillId="0" borderId="15" xfId="0" applyFont="1" applyBorder="1"/>
    <xf numFmtId="0" fontId="2" fillId="0" borderId="16" xfId="0" applyFont="1" applyBorder="1"/>
    <xf numFmtId="0" fontId="2" fillId="0" borderId="22" xfId="0" applyFont="1" applyBorder="1"/>
    <xf numFmtId="9" fontId="2" fillId="0" borderId="22" xfId="2" applyFont="1" applyBorder="1"/>
    <xf numFmtId="0" fontId="6" fillId="2" borderId="25" xfId="0" applyFont="1" applyFill="1" applyBorder="1"/>
    <xf numFmtId="1" fontId="6" fillId="2" borderId="22" xfId="0" applyNumberFormat="1" applyFont="1" applyFill="1" applyBorder="1"/>
    <xf numFmtId="9" fontId="2" fillId="0" borderId="19" xfId="2" applyFont="1" applyBorder="1"/>
    <xf numFmtId="0" fontId="6" fillId="2" borderId="28" xfId="0" applyFont="1" applyFill="1" applyBorder="1"/>
    <xf numFmtId="0" fontId="2" fillId="0" borderId="19" xfId="0" applyFont="1" applyBorder="1"/>
    <xf numFmtId="0" fontId="0" fillId="2" borderId="11" xfId="0" applyFill="1" applyBorder="1"/>
    <xf numFmtId="0" fontId="0" fillId="2" borderId="26" xfId="0" applyFill="1" applyBorder="1"/>
    <xf numFmtId="0" fontId="0" fillId="2" borderId="27" xfId="0" applyFill="1" applyBorder="1"/>
    <xf numFmtId="0" fontId="2" fillId="0" borderId="28" xfId="0" applyFont="1" applyBorder="1"/>
    <xf numFmtId="0" fontId="0" fillId="0" borderId="0" xfId="0" applyAlignment="1"/>
    <xf numFmtId="0" fontId="0" fillId="0" borderId="32" xfId="0" applyBorder="1"/>
    <xf numFmtId="0" fontId="0" fillId="2" borderId="12" xfId="0" applyFont="1" applyFill="1" applyBorder="1"/>
    <xf numFmtId="0" fontId="0" fillId="2" borderId="11" xfId="0" applyFill="1" applyBorder="1" applyAlignment="1"/>
    <xf numFmtId="0" fontId="0" fillId="2" borderId="15" xfId="0" applyFill="1" applyBorder="1" applyAlignment="1"/>
    <xf numFmtId="0" fontId="2" fillId="0" borderId="11" xfId="0" applyFont="1" applyBorder="1"/>
    <xf numFmtId="0" fontId="2" fillId="0" borderId="15" xfId="0" applyFont="1" applyBorder="1" applyAlignment="1"/>
    <xf numFmtId="0" fontId="2" fillId="0" borderId="15" xfId="0" applyFont="1" applyFill="1" applyBorder="1" applyAlignment="1"/>
    <xf numFmtId="0" fontId="3" fillId="0" borderId="32" xfId="0" applyFont="1" applyBorder="1"/>
    <xf numFmtId="0" fontId="0" fillId="0" borderId="13" xfId="0" applyBorder="1" applyAlignment="1">
      <alignment horizontal="right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164" fontId="0" fillId="0" borderId="0" xfId="0" applyNumberFormat="1"/>
    <xf numFmtId="164" fontId="0" fillId="0" borderId="0" xfId="0" applyNumberFormat="1" applyBorder="1"/>
    <xf numFmtId="0" fontId="0" fillId="0" borderId="0" xfId="0" applyFill="1" applyBorder="1"/>
    <xf numFmtId="0" fontId="3" fillId="2" borderId="0" xfId="0" applyFont="1" applyFill="1" applyBorder="1"/>
    <xf numFmtId="164" fontId="3" fillId="2" borderId="0" xfId="0" applyNumberFormat="1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0" fillId="2" borderId="15" xfId="0" applyFill="1" applyBorder="1" applyAlignment="1">
      <alignment horizontal="right"/>
    </xf>
    <xf numFmtId="0" fontId="11" fillId="2" borderId="15" xfId="0" applyFont="1" applyFill="1" applyBorder="1" applyAlignment="1">
      <alignment horizontal="right"/>
    </xf>
    <xf numFmtId="0" fontId="0" fillId="2" borderId="29" xfId="0" applyFill="1" applyBorder="1"/>
    <xf numFmtId="0" fontId="0" fillId="2" borderId="31" xfId="0" applyFill="1" applyBorder="1"/>
    <xf numFmtId="0" fontId="2" fillId="0" borderId="1" xfId="0" applyFont="1" applyBorder="1"/>
    <xf numFmtId="0" fontId="3" fillId="0" borderId="32" xfId="0" applyFont="1" applyBorder="1" applyAlignment="1">
      <alignment horizontal="center"/>
    </xf>
    <xf numFmtId="0" fontId="3" fillId="0" borderId="11" xfId="0" applyFont="1" applyBorder="1" applyAlignment="1"/>
    <xf numFmtId="0" fontId="3" fillId="0" borderId="10" xfId="0" applyFont="1" applyBorder="1" applyAlignment="1">
      <alignment horizontal="right"/>
    </xf>
    <xf numFmtId="0" fontId="12" fillId="0" borderId="10" xfId="0" applyFont="1" applyBorder="1" applyAlignment="1">
      <alignment horizontal="right"/>
    </xf>
    <xf numFmtId="0" fontId="0" fillId="0" borderId="12" xfId="0" applyFill="1" applyBorder="1"/>
    <xf numFmtId="164" fontId="0" fillId="0" borderId="13" xfId="0" applyNumberFormat="1" applyBorder="1"/>
    <xf numFmtId="9" fontId="0" fillId="0" borderId="0" xfId="0" applyNumberFormat="1" applyBorder="1"/>
    <xf numFmtId="0" fontId="0" fillId="0" borderId="0" xfId="0" applyBorder="1" applyAlignment="1">
      <alignment horizontal="right"/>
    </xf>
    <xf numFmtId="9" fontId="11" fillId="0" borderId="13" xfId="2" applyFont="1" applyBorder="1"/>
    <xf numFmtId="0" fontId="0" fillId="0" borderId="0" xfId="0" quotePrefix="1" applyBorder="1"/>
    <xf numFmtId="9" fontId="11" fillId="2" borderId="13" xfId="2" applyFont="1" applyFill="1" applyBorder="1"/>
    <xf numFmtId="164" fontId="3" fillId="2" borderId="12" xfId="0" applyNumberFormat="1" applyFont="1" applyFill="1" applyBorder="1"/>
    <xf numFmtId="164" fontId="3" fillId="2" borderId="13" xfId="0" applyNumberFormat="1" applyFont="1" applyFill="1" applyBorder="1"/>
    <xf numFmtId="0" fontId="3" fillId="2" borderId="14" xfId="0" applyFont="1" applyFill="1" applyBorder="1"/>
    <xf numFmtId="0" fontId="3" fillId="2" borderId="24" xfId="0" applyFont="1" applyFill="1" applyBorder="1"/>
    <xf numFmtId="0" fontId="3" fillId="2" borderId="15" xfId="0" applyFont="1" applyFill="1" applyBorder="1"/>
    <xf numFmtId="9" fontId="3" fillId="2" borderId="24" xfId="2" applyFont="1" applyFill="1" applyBorder="1" applyAlignment="1">
      <alignment horizontal="center"/>
    </xf>
    <xf numFmtId="0" fontId="3" fillId="2" borderId="32" xfId="0" applyFont="1" applyFill="1" applyBorder="1"/>
    <xf numFmtId="0" fontId="0" fillId="2" borderId="32" xfId="0" applyFill="1" applyBorder="1"/>
    <xf numFmtId="0" fontId="0" fillId="2" borderId="32" xfId="0" applyFont="1" applyFill="1" applyBorder="1"/>
    <xf numFmtId="9" fontId="14" fillId="2" borderId="13" xfId="2" applyFont="1" applyFill="1" applyBorder="1"/>
    <xf numFmtId="0" fontId="2" fillId="0" borderId="16" xfId="0" applyFont="1" applyBorder="1" applyAlignment="1"/>
    <xf numFmtId="0" fontId="2" fillId="0" borderId="16" xfId="0" applyFont="1" applyFill="1" applyBorder="1" applyAlignment="1"/>
    <xf numFmtId="164" fontId="3" fillId="2" borderId="32" xfId="0" applyNumberFormat="1" applyFont="1" applyFill="1" applyBorder="1"/>
    <xf numFmtId="9" fontId="14" fillId="2" borderId="11" xfId="2" applyFont="1" applyFill="1" applyBorder="1"/>
    <xf numFmtId="0" fontId="3" fillId="2" borderId="10" xfId="0" applyFont="1" applyFill="1" applyBorder="1"/>
    <xf numFmtId="0" fontId="6" fillId="0" borderId="15" xfId="0" applyFont="1" applyBorder="1"/>
    <xf numFmtId="0" fontId="6" fillId="0" borderId="11" xfId="0" applyFont="1" applyBorder="1"/>
    <xf numFmtId="0" fontId="2" fillId="0" borderId="33" xfId="0" applyFont="1" applyBorder="1"/>
    <xf numFmtId="0" fontId="2" fillId="0" borderId="34" xfId="0" applyFont="1" applyBorder="1"/>
    <xf numFmtId="0" fontId="0" fillId="2" borderId="24" xfId="0" applyFill="1" applyBorder="1"/>
    <xf numFmtId="0" fontId="2" fillId="2" borderId="0" xfId="0" applyFont="1" applyFill="1" applyBorder="1"/>
    <xf numFmtId="0" fontId="0" fillId="0" borderId="11" xfId="0" applyBorder="1" applyAlignment="1">
      <alignment horizontal="right"/>
    </xf>
    <xf numFmtId="9" fontId="0" fillId="2" borderId="15" xfId="0" applyNumberFormat="1" applyFill="1" applyBorder="1"/>
    <xf numFmtId="0" fontId="0" fillId="2" borderId="36" xfId="0" applyFill="1" applyBorder="1"/>
    <xf numFmtId="0" fontId="0" fillId="2" borderId="37" xfId="0" applyFill="1" applyBorder="1"/>
    <xf numFmtId="0" fontId="0" fillId="2" borderId="38" xfId="0" applyFill="1" applyBorder="1"/>
    <xf numFmtId="9" fontId="2" fillId="0" borderId="39" xfId="0" applyNumberFormat="1" applyFont="1" applyBorder="1"/>
    <xf numFmtId="9" fontId="2" fillId="0" borderId="4" xfId="0" applyNumberFormat="1" applyFont="1" applyBorder="1"/>
    <xf numFmtId="0" fontId="15" fillId="2" borderId="15" xfId="0" applyFont="1" applyFill="1" applyBorder="1"/>
    <xf numFmtId="9" fontId="2" fillId="0" borderId="15" xfId="0" applyNumberFormat="1" applyFont="1" applyBorder="1"/>
    <xf numFmtId="0" fontId="0" fillId="2" borderId="35" xfId="0" applyFill="1" applyBorder="1"/>
    <xf numFmtId="0" fontId="3" fillId="0" borderId="0" xfId="0" applyFont="1"/>
    <xf numFmtId="0" fontId="0" fillId="2" borderId="0" xfId="0" applyFill="1"/>
    <xf numFmtId="0" fontId="0" fillId="0" borderId="0" xfId="0" applyBorder="1" applyAlignment="1">
      <alignment horizontal="left"/>
    </xf>
    <xf numFmtId="165" fontId="0" fillId="2" borderId="0" xfId="0" applyNumberFormat="1" applyFill="1"/>
    <xf numFmtId="166" fontId="0" fillId="2" borderId="0" xfId="0" applyNumberFormat="1" applyFill="1"/>
    <xf numFmtId="166" fontId="0" fillId="0" borderId="0" xfId="0" applyNumberFormat="1"/>
    <xf numFmtId="166" fontId="0" fillId="0" borderId="0" xfId="0" applyNumberFormat="1" applyFill="1"/>
    <xf numFmtId="165" fontId="0" fillId="2" borderId="0" xfId="0" applyNumberFormat="1" applyFill="1" applyBorder="1" applyAlignment="1">
      <alignment horizontal="right"/>
    </xf>
    <xf numFmtId="165" fontId="0" fillId="0" borderId="0" xfId="0" applyNumberForma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5" fontId="0" fillId="0" borderId="0" xfId="0" applyNumberFormat="1" applyFill="1" applyBorder="1" applyAlignment="1">
      <alignment horizontal="right"/>
    </xf>
    <xf numFmtId="165" fontId="0" fillId="2" borderId="0" xfId="0" applyNumberFormat="1" applyFill="1" applyBorder="1"/>
    <xf numFmtId="165" fontId="0" fillId="0" borderId="0" xfId="0" applyNumberFormat="1" applyBorder="1"/>
    <xf numFmtId="9" fontId="0" fillId="0" borderId="0" xfId="2" applyFont="1"/>
    <xf numFmtId="49" fontId="3" fillId="0" borderId="0" xfId="0" applyNumberFormat="1" applyFont="1" applyBorder="1"/>
    <xf numFmtId="49" fontId="3" fillId="0" borderId="13" xfId="0" applyNumberFormat="1" applyFont="1" applyBorder="1"/>
    <xf numFmtId="165" fontId="0" fillId="2" borderId="13" xfId="0" applyNumberFormat="1" applyFill="1" applyBorder="1" applyAlignment="1">
      <alignment horizontal="right"/>
    </xf>
    <xf numFmtId="165" fontId="0" fillId="0" borderId="13" xfId="0" applyNumberFormat="1" applyBorder="1" applyAlignment="1">
      <alignment horizontal="right"/>
    </xf>
    <xf numFmtId="165" fontId="3" fillId="0" borderId="13" xfId="0" applyNumberFormat="1" applyFont="1" applyBorder="1" applyAlignment="1">
      <alignment horizontal="right"/>
    </xf>
    <xf numFmtId="165" fontId="0" fillId="0" borderId="13" xfId="0" applyNumberFormat="1" applyFill="1" applyBorder="1" applyAlignment="1">
      <alignment horizontal="right"/>
    </xf>
    <xf numFmtId="165" fontId="0" fillId="2" borderId="13" xfId="0" applyNumberFormat="1" applyFill="1" applyBorder="1"/>
    <xf numFmtId="165" fontId="0" fillId="2" borderId="24" xfId="0" applyNumberFormat="1" applyFill="1" applyBorder="1"/>
    <xf numFmtId="165" fontId="0" fillId="2" borderId="15" xfId="0" applyNumberFormat="1" applyFill="1" applyBorder="1"/>
    <xf numFmtId="165" fontId="0" fillId="0" borderId="13" xfId="0" applyNumberFormat="1" applyBorder="1"/>
    <xf numFmtId="17" fontId="3" fillId="0" borderId="0" xfId="0" applyNumberFormat="1" applyFont="1" applyBorder="1"/>
    <xf numFmtId="17" fontId="3" fillId="0" borderId="13" xfId="0" applyNumberFormat="1" applyFont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44" fontId="0" fillId="2" borderId="29" xfId="1" applyFont="1" applyFill="1" applyBorder="1" applyAlignment="1">
      <alignment horizontal="center"/>
    </xf>
    <xf numFmtId="44" fontId="0" fillId="2" borderId="30" xfId="1" applyFont="1" applyFill="1" applyBorder="1" applyAlignment="1">
      <alignment horizontal="center"/>
    </xf>
    <xf numFmtId="44" fontId="0" fillId="2" borderId="31" xfId="1" applyFont="1" applyFill="1" applyBorder="1" applyAlignment="1">
      <alignment horizontal="center"/>
    </xf>
    <xf numFmtId="0" fontId="0" fillId="2" borderId="29" xfId="0" applyFont="1" applyFill="1" applyBorder="1" applyAlignment="1">
      <alignment horizontal="center"/>
    </xf>
    <xf numFmtId="0" fontId="0" fillId="2" borderId="30" xfId="0" applyFont="1" applyFill="1" applyBorder="1" applyAlignment="1">
      <alignment horizontal="center"/>
    </xf>
    <xf numFmtId="0" fontId="0" fillId="2" borderId="31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 vertical="center" textRotation="90"/>
    </xf>
    <xf numFmtId="0" fontId="9" fillId="3" borderId="27" xfId="0" applyFont="1" applyFill="1" applyBorder="1" applyAlignment="1">
      <alignment horizontal="center" vertical="center" textRotation="90"/>
    </xf>
    <xf numFmtId="0" fontId="9" fillId="3" borderId="28" xfId="0" applyFont="1" applyFill="1" applyBorder="1" applyAlignment="1">
      <alignment horizontal="center" vertical="center" textRotation="90"/>
    </xf>
    <xf numFmtId="0" fontId="8" fillId="2" borderId="26" xfId="0" applyFont="1" applyFill="1" applyBorder="1" applyAlignment="1">
      <alignment horizontal="center" vertical="center" textRotation="90"/>
    </xf>
    <xf numFmtId="0" fontId="8" fillId="2" borderId="27" xfId="0" applyFont="1" applyFill="1" applyBorder="1" applyAlignment="1">
      <alignment horizontal="center" vertical="center" textRotation="90"/>
    </xf>
    <xf numFmtId="0" fontId="8" fillId="2" borderId="28" xfId="0" applyFont="1" applyFill="1" applyBorder="1" applyAlignment="1">
      <alignment horizontal="center" vertical="center" textRotation="90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3" fillId="2" borderId="0" xfId="0" applyNumberFormat="1" applyFont="1" applyFill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tephan Hillenbrand" id="{4BD7C721-A149-F945-A510-1D44D2C36EA1}" userId="S::stephan@wooden-cabins.com::7e5d066f-a027-4ffb-ade9-bc213760b38b" providerId="AD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2" dT="2019-07-04T14:42:20.24" personId="{4BD7C721-A149-F945-A510-1D44D2C36EA1}" id="{5F4F1939-DAE8-C641-AC16-431C51ED76E2}">
    <text>50% deposit machines</text>
  </threadedComment>
  <threadedComment ref="E15" dT="2019-07-04T15:04:56.06" personId="{4BD7C721-A149-F945-A510-1D44D2C36EA1}" id="{B030B67D-F195-6E46-A355-0EB66A706FAB}">
    <text>CEO half</text>
  </threadedComment>
  <threadedComment ref="G15" dT="2019-07-04T15:05:16.21" personId="{4BD7C721-A149-F945-A510-1D44D2C36EA1}" id="{E3484869-709C-3E43-B039-79233B0A4646}">
    <text>CEO half, wooden engineer</text>
  </threadedComment>
  <threadedComment ref="J17" dT="2019-07-04T14:42:38.73" personId="{4BD7C721-A149-F945-A510-1D44D2C36EA1}" id="{15AB73C8-369F-5F43-98F3-A3F09A9B5847}">
    <text>buy land, building-costs</text>
  </threadedComment>
  <threadedComment ref="E18" dT="2019-07-04T14:37:15.74" personId="{4BD7C721-A149-F945-A510-1D44D2C36EA1}" id="{DBA48C15-7DFF-874F-A001-99AA47D5EAC5}">
    <text>office, software, lawyer, architect, fees, commercial</text>
  </threadedComment>
  <threadedComment ref="O18" dT="2019-07-04T14:46:56.61" personId="{4BD7C721-A149-F945-A510-1D44D2C36EA1}" id="{4CDC9155-94B2-6949-88E5-772C25C19DEA}">
    <text>office, software development, lawyer, architect, fees, commercial</text>
  </threadedComment>
  <threadedComment ref="M39" dT="2019-07-04T15:41:53.76" personId="{4BD7C721-A149-F945-A510-1D44D2C36EA1}" id="{4E309AA7-7D2E-FD4C-B299-EA70FF66EBE5}">
    <text>final payment machinery</text>
  </threadedComment>
  <threadedComment ref="N40" dT="2019-07-04T15:32:53.62" personId="{4BD7C721-A149-F945-A510-1D44D2C36EA1}" id="{77AE5702-31F1-3949-A7C5-7B793EBEE13B}">
    <text>shift 1</text>
  </threadedComment>
  <threadedComment ref="K42" dT="2019-07-04T15:14:41.16" personId="{4BD7C721-A149-F945-A510-1D44D2C36EA1}" id="{B4F6293C-975B-984D-A64D-E98AD28739C3}">
    <text>CEO half, 2x wooden engineer</text>
  </threadedComment>
  <threadedComment ref="N42" dT="2019-07-04T15:15:42.85" personId="{4BD7C721-A149-F945-A510-1D44D2C36EA1}" id="{1AEC267B-0A6C-1A49-92CE-57A0F3AE83EE}">
    <text>CEO half, 2x wooden engineer, 10x sales persons, 2x finance &amp; human resources</text>
  </threadedComment>
  <threadedComment ref="E67" dT="2019-07-04T15:32:53.62" personId="{4BD7C721-A149-F945-A510-1D44D2C36EA1}" id="{9C33B964-06BD-AA42-AB7B-56FEE997B69A}">
    <text>shift 1, shift 2</text>
  </threadedComment>
  <threadedComment ref="F67" dT="2019-07-04T15:32:53.62" personId="{4BD7C721-A149-F945-A510-1D44D2C36EA1}" id="{AB853CB0-8E5E-7945-B2BD-028D11517ECB}">
    <text>shift 1, shift 2, shift 3</text>
  </threadedComment>
  <threadedComment ref="G69" dT="2019-07-04T15:44:10.54" personId="{4BD7C721-A149-F945-A510-1D44D2C36EA1}" id="{14865709-673D-F341-9B1E-3FE39624AF3F}">
    <text>CEO full, 2x wooden engineer, 10x sales persons, 2x finance &amp; human resources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D5CF-EC6B-1E43-9E6C-526E4C97B9D5}">
  <sheetPr>
    <pageSetUpPr fitToPage="1"/>
  </sheetPr>
  <dimension ref="A1:AK42"/>
  <sheetViews>
    <sheetView zoomScaleNormal="125" workbookViewId="0">
      <selection activeCell="M39" sqref="M39"/>
    </sheetView>
  </sheetViews>
  <sheetFormatPr baseColWidth="10" defaultRowHeight="16"/>
  <cols>
    <col min="1" max="1" width="3.83203125" customWidth="1"/>
    <col min="4" max="4" width="12.5" customWidth="1"/>
    <col min="5" max="5" width="11" customWidth="1"/>
    <col min="6" max="6" width="16.6640625" customWidth="1"/>
    <col min="7" max="7" width="9.83203125" customWidth="1"/>
    <col min="8" max="9" width="9.1640625" customWidth="1"/>
    <col min="10" max="10" width="5.6640625" customWidth="1"/>
    <col min="11" max="11" width="10" customWidth="1"/>
    <col min="12" max="12" width="5.5" customWidth="1"/>
    <col min="13" max="13" width="5.6640625" customWidth="1"/>
    <col min="14" max="14" width="10" customWidth="1"/>
    <col min="15" max="15" width="6.33203125" customWidth="1"/>
    <col min="16" max="16" width="5.6640625" customWidth="1"/>
    <col min="17" max="17" width="10.6640625" customWidth="1"/>
    <col min="18" max="18" width="5.83203125" customWidth="1"/>
    <col min="19" max="19" width="2.6640625" customWidth="1"/>
    <col min="20" max="20" width="5" customWidth="1"/>
    <col min="21" max="21" width="2.6640625" customWidth="1"/>
    <col min="22" max="22" width="10.83203125" customWidth="1"/>
    <col min="25" max="25" width="2.6640625" customWidth="1"/>
    <col min="26" max="26" width="5" customWidth="1"/>
    <col min="27" max="27" width="2.6640625" customWidth="1"/>
    <col min="31" max="31" width="2.6640625" customWidth="1"/>
    <col min="32" max="32" width="10.83203125" customWidth="1"/>
    <col min="35" max="35" width="9" customWidth="1"/>
  </cols>
  <sheetData>
    <row r="1" spans="1:37" ht="17" customHeight="1" thickBot="1">
      <c r="A1" s="156" t="s">
        <v>108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8"/>
      <c r="T1" s="153" t="s">
        <v>18</v>
      </c>
      <c r="V1" s="141" t="s">
        <v>0</v>
      </c>
      <c r="W1" s="142"/>
      <c r="X1" s="143"/>
      <c r="Z1" s="150" t="s">
        <v>64</v>
      </c>
      <c r="AB1" s="141" t="s">
        <v>28</v>
      </c>
      <c r="AC1" s="142"/>
      <c r="AD1" s="143"/>
      <c r="AF1" s="141" t="s">
        <v>91</v>
      </c>
      <c r="AG1" s="142"/>
      <c r="AH1" s="143"/>
    </row>
    <row r="2" spans="1:37" ht="17" thickBot="1">
      <c r="T2" s="154"/>
      <c r="V2" s="2">
        <v>0.2</v>
      </c>
      <c r="W2" s="8">
        <v>300</v>
      </c>
      <c r="X2" s="3">
        <f>W2*V2</f>
        <v>60</v>
      </c>
      <c r="Z2" s="151"/>
      <c r="AB2" s="29" t="s">
        <v>30</v>
      </c>
      <c r="AC2" s="45"/>
      <c r="AD2" s="37">
        <v>1</v>
      </c>
      <c r="AF2" s="29" t="s">
        <v>21</v>
      </c>
      <c r="AG2" s="28" t="s">
        <v>104</v>
      </c>
      <c r="AH2" s="54">
        <v>250</v>
      </c>
    </row>
    <row r="3" spans="1:37" ht="17" thickBot="1">
      <c r="A3" s="10"/>
      <c r="B3" s="57" t="s">
        <v>41</v>
      </c>
      <c r="C3" s="50"/>
      <c r="D3" s="50"/>
      <c r="E3" s="50"/>
      <c r="F3" s="50"/>
      <c r="G3" s="50"/>
      <c r="H3" s="50"/>
      <c r="I3" s="105" t="s">
        <v>109</v>
      </c>
      <c r="J3" s="75" t="s">
        <v>61</v>
      </c>
      <c r="K3" s="73">
        <v>1</v>
      </c>
      <c r="L3" s="74"/>
      <c r="M3" s="75" t="s">
        <v>61</v>
      </c>
      <c r="N3" s="73">
        <v>2</v>
      </c>
      <c r="O3" s="74"/>
      <c r="P3" s="76" t="s">
        <v>61</v>
      </c>
      <c r="Q3" s="73">
        <v>3</v>
      </c>
      <c r="R3" s="74"/>
      <c r="T3" s="154"/>
      <c r="V3" s="4">
        <v>0.2</v>
      </c>
      <c r="W3" s="8">
        <v>300</v>
      </c>
      <c r="X3" s="5">
        <f>W3*V3</f>
        <v>60</v>
      </c>
      <c r="Z3" s="151"/>
      <c r="AB3" s="20" t="s">
        <v>29</v>
      </c>
      <c r="AC3" s="23"/>
      <c r="AD3" s="36">
        <v>155</v>
      </c>
      <c r="AF3" s="18"/>
      <c r="AG3" s="35" t="s">
        <v>92</v>
      </c>
      <c r="AH3" s="12">
        <v>50</v>
      </c>
      <c r="AJ3" s="61"/>
      <c r="AK3" s="61"/>
    </row>
    <row r="4" spans="1:37" ht="20" thickBot="1">
      <c r="A4" s="11"/>
      <c r="B4" s="27" t="s">
        <v>40</v>
      </c>
      <c r="C4" s="27"/>
      <c r="D4" s="27"/>
      <c r="E4" s="27"/>
      <c r="F4" s="27"/>
      <c r="G4" s="27"/>
      <c r="H4" s="27"/>
      <c r="I4" s="58" t="s">
        <v>45</v>
      </c>
      <c r="J4" s="11"/>
      <c r="K4" s="59">
        <v>33</v>
      </c>
      <c r="L4" s="13"/>
      <c r="M4" s="11"/>
      <c r="N4" s="60">
        <v>66</v>
      </c>
      <c r="O4" s="13"/>
      <c r="P4" s="11"/>
      <c r="Q4" s="60">
        <v>100</v>
      </c>
      <c r="R4" s="13"/>
      <c r="T4" s="154"/>
      <c r="V4" s="4">
        <v>0.2</v>
      </c>
      <c r="W4" s="8">
        <v>300</v>
      </c>
      <c r="X4" s="5">
        <f>W4*V4</f>
        <v>60</v>
      </c>
      <c r="Z4" s="151"/>
      <c r="AF4" s="18"/>
      <c r="AG4" s="35" t="s">
        <v>93</v>
      </c>
      <c r="AH4" s="12">
        <v>8</v>
      </c>
    </row>
    <row r="5" spans="1:37" ht="20" thickBot="1">
      <c r="A5" s="11"/>
      <c r="B5" s="27"/>
      <c r="C5" s="27"/>
      <c r="D5" s="27"/>
      <c r="E5" s="27"/>
      <c r="F5" s="27"/>
      <c r="G5" s="27"/>
      <c r="H5" s="27"/>
      <c r="I5" s="58" t="s">
        <v>46</v>
      </c>
      <c r="J5" s="11"/>
      <c r="K5" s="60">
        <f>K4*$X$9</f>
        <v>24.75</v>
      </c>
      <c r="L5" s="13"/>
      <c r="M5" s="11"/>
      <c r="N5" s="60">
        <f>N4*$X$9</f>
        <v>49.5</v>
      </c>
      <c r="O5" s="13"/>
      <c r="P5" s="11"/>
      <c r="Q5" s="60">
        <f>Q4*$X$9</f>
        <v>75</v>
      </c>
      <c r="R5" s="13"/>
      <c r="T5" s="154"/>
      <c r="V5" s="4">
        <v>0.2</v>
      </c>
      <c r="W5" s="8">
        <v>300</v>
      </c>
      <c r="X5" s="5">
        <f>W5*V5</f>
        <v>60</v>
      </c>
      <c r="Z5" s="151"/>
      <c r="AB5" s="141" t="s">
        <v>33</v>
      </c>
      <c r="AC5" s="142"/>
      <c r="AD5" s="143"/>
      <c r="AF5" s="20"/>
      <c r="AG5" s="68" t="s">
        <v>4</v>
      </c>
      <c r="AH5" s="99">
        <f>AH2*AH3*AH4</f>
        <v>100000</v>
      </c>
    </row>
    <row r="6" spans="1:37" ht="20" thickBot="1">
      <c r="A6" s="29" t="s">
        <v>42</v>
      </c>
      <c r="B6" s="90" t="s">
        <v>90</v>
      </c>
      <c r="C6" s="91"/>
      <c r="D6" s="91"/>
      <c r="E6" s="91"/>
      <c r="F6" s="91"/>
      <c r="G6" s="92">
        <f>X11</f>
        <v>1000</v>
      </c>
      <c r="H6" s="91"/>
      <c r="I6" s="45"/>
      <c r="J6" s="29"/>
      <c r="K6" s="96">
        <f>$G$6*K5</f>
        <v>24750</v>
      </c>
      <c r="L6" s="97"/>
      <c r="M6" s="98"/>
      <c r="N6" s="96">
        <f>$G$6*N5</f>
        <v>49500</v>
      </c>
      <c r="O6" s="97"/>
      <c r="P6" s="98"/>
      <c r="Q6" s="96">
        <f>$G$6*Q5</f>
        <v>75000</v>
      </c>
      <c r="R6" s="97"/>
      <c r="T6" s="154"/>
      <c r="V6" s="4">
        <v>0.2</v>
      </c>
      <c r="W6" s="8">
        <v>300</v>
      </c>
      <c r="X6" s="5">
        <f>W6*V6</f>
        <v>60</v>
      </c>
      <c r="Z6" s="151"/>
      <c r="AB6" s="141" t="s">
        <v>34</v>
      </c>
      <c r="AC6" s="142"/>
      <c r="AD6" s="143"/>
      <c r="AF6" s="29" t="s">
        <v>96</v>
      </c>
      <c r="AG6" s="28" t="s">
        <v>95</v>
      </c>
      <c r="AH6" s="54">
        <v>30</v>
      </c>
    </row>
    <row r="7" spans="1:37" ht="16" customHeight="1" thickBot="1">
      <c r="A7" s="11" t="s">
        <v>43</v>
      </c>
      <c r="B7" s="27" t="s">
        <v>110</v>
      </c>
      <c r="C7" s="27"/>
      <c r="D7" s="27"/>
      <c r="E7" s="27"/>
      <c r="F7" s="27"/>
      <c r="G7" s="27"/>
      <c r="H7" s="27"/>
      <c r="I7" s="13"/>
      <c r="J7" s="11"/>
      <c r="K7" s="62">
        <f>K5*$AH$18</f>
        <v>1267.2</v>
      </c>
      <c r="L7" s="13"/>
      <c r="M7" s="11"/>
      <c r="N7" s="62">
        <f>N5*$AH$18</f>
        <v>2534.4</v>
      </c>
      <c r="O7" s="13"/>
      <c r="P7" s="11"/>
      <c r="Q7" s="62">
        <f>Q5*$AH$18</f>
        <v>3840</v>
      </c>
      <c r="R7" s="13"/>
      <c r="T7" s="154"/>
      <c r="V7" s="6">
        <f>SUM(V2:V6)</f>
        <v>1</v>
      </c>
      <c r="W7" s="7" t="s">
        <v>5</v>
      </c>
      <c r="X7" s="9">
        <f>SUM(X2:X6)</f>
        <v>300</v>
      </c>
      <c r="Z7" s="151"/>
      <c r="AB7" s="29" t="s">
        <v>30</v>
      </c>
      <c r="AC7" s="45"/>
      <c r="AD7" s="94">
        <v>10</v>
      </c>
      <c r="AF7" s="20"/>
      <c r="AG7" s="68" t="s">
        <v>15</v>
      </c>
      <c r="AH7" s="99">
        <f>AH5*AH6/1000</f>
        <v>3000</v>
      </c>
    </row>
    <row r="8" spans="1:37" ht="16" customHeight="1" thickBot="1">
      <c r="A8" s="11" t="s">
        <v>44</v>
      </c>
      <c r="B8" s="27" t="s">
        <v>144</v>
      </c>
      <c r="C8" s="27"/>
      <c r="D8" s="27"/>
      <c r="E8" s="27"/>
      <c r="F8" s="27"/>
      <c r="G8" s="27"/>
      <c r="H8" s="27"/>
      <c r="I8" s="13"/>
      <c r="J8" s="11"/>
      <c r="K8" s="62"/>
      <c r="L8" s="13"/>
      <c r="M8" s="11"/>
      <c r="N8" s="62"/>
      <c r="O8" s="13"/>
      <c r="P8" s="11"/>
      <c r="Q8" s="62"/>
      <c r="R8" s="13"/>
      <c r="T8" s="154"/>
      <c r="Z8" s="151"/>
      <c r="AB8" s="20" t="s">
        <v>29</v>
      </c>
      <c r="AC8" s="23"/>
      <c r="AD8" s="55">
        <v>33</v>
      </c>
      <c r="AF8" s="29" t="s">
        <v>94</v>
      </c>
      <c r="AG8" s="28" t="s">
        <v>16</v>
      </c>
      <c r="AH8" s="100">
        <f>AH7*$X$19</f>
        <v>210.00000000000003</v>
      </c>
    </row>
    <row r="9" spans="1:37" ht="16" customHeight="1" thickBot="1">
      <c r="A9" s="11" t="s">
        <v>47</v>
      </c>
      <c r="B9" s="27" t="s">
        <v>50</v>
      </c>
      <c r="C9" s="27"/>
      <c r="D9" s="27"/>
      <c r="E9" s="27"/>
      <c r="F9" s="27"/>
      <c r="G9" s="27"/>
      <c r="H9" s="27"/>
      <c r="I9" s="13"/>
      <c r="J9" s="11"/>
      <c r="K9" s="62">
        <f>$W$10*K5</f>
        <v>99</v>
      </c>
      <c r="L9" s="13"/>
      <c r="M9" s="11"/>
      <c r="N9" s="62">
        <f>$W$10*N5</f>
        <v>198</v>
      </c>
      <c r="O9" s="13"/>
      <c r="P9" s="11"/>
      <c r="Q9" s="62">
        <f>$W$10*Q5</f>
        <v>300</v>
      </c>
      <c r="R9" s="13"/>
      <c r="T9" s="154"/>
      <c r="V9" s="17" t="s">
        <v>1</v>
      </c>
      <c r="W9" s="21" t="s">
        <v>7</v>
      </c>
      <c r="X9" s="14">
        <v>0.75</v>
      </c>
      <c r="Z9" s="151"/>
      <c r="AB9" s="141" t="s">
        <v>103</v>
      </c>
      <c r="AC9" s="142"/>
      <c r="AD9" s="143"/>
      <c r="AF9" s="18"/>
      <c r="AG9" s="35" t="s">
        <v>97</v>
      </c>
      <c r="AH9" s="12">
        <v>12</v>
      </c>
    </row>
    <row r="10" spans="1:37" ht="16" customHeight="1" thickBot="1">
      <c r="A10" s="66" t="s">
        <v>48</v>
      </c>
      <c r="B10" s="64" t="s">
        <v>51</v>
      </c>
      <c r="C10" s="64"/>
      <c r="D10" s="64"/>
      <c r="E10" s="64"/>
      <c r="F10" s="64"/>
      <c r="G10" s="64"/>
      <c r="H10" s="64"/>
      <c r="I10" s="67"/>
      <c r="J10" s="66"/>
      <c r="K10" s="65">
        <f>SUM(K6:K9)</f>
        <v>26116.2</v>
      </c>
      <c r="L10" s="93">
        <v>1</v>
      </c>
      <c r="M10" s="66"/>
      <c r="N10" s="65">
        <f>SUM(N6:N9)</f>
        <v>52232.4</v>
      </c>
      <c r="O10" s="93">
        <v>1</v>
      </c>
      <c r="P10" s="66"/>
      <c r="Q10" s="65">
        <f>SUM(Q6:Q9)</f>
        <v>79140</v>
      </c>
      <c r="R10" s="93">
        <v>1</v>
      </c>
      <c r="T10" s="154"/>
      <c r="V10" s="18" t="s">
        <v>2</v>
      </c>
      <c r="W10" s="12">
        <v>4</v>
      </c>
      <c r="X10" s="25">
        <f>X7/(X9*100)*100-W10</f>
        <v>396</v>
      </c>
      <c r="Z10" s="151"/>
      <c r="AB10" s="29" t="s">
        <v>30</v>
      </c>
      <c r="AC10" s="52"/>
      <c r="AD10" s="94">
        <v>2</v>
      </c>
      <c r="AF10" s="20"/>
      <c r="AG10" s="68" t="s">
        <v>98</v>
      </c>
      <c r="AH10" s="99">
        <f>$AD$28</f>
        <v>251</v>
      </c>
    </row>
    <row r="11" spans="1:37" ht="16" customHeight="1" thickBot="1">
      <c r="A11" s="11" t="s">
        <v>49</v>
      </c>
      <c r="B11" s="63" t="s">
        <v>52</v>
      </c>
      <c r="C11" s="27"/>
      <c r="D11" s="27"/>
      <c r="E11" s="27"/>
      <c r="F11" s="27"/>
      <c r="G11" s="27"/>
      <c r="H11" s="27"/>
      <c r="I11" s="13"/>
      <c r="J11" s="11"/>
      <c r="K11" s="62"/>
      <c r="L11" s="13"/>
      <c r="M11" s="11"/>
      <c r="N11" s="27"/>
      <c r="O11" s="13"/>
      <c r="P11" s="11"/>
      <c r="Q11" s="27"/>
      <c r="R11" s="13"/>
      <c r="T11" s="154"/>
      <c r="V11" s="19" t="s">
        <v>6</v>
      </c>
      <c r="W11" s="16" t="s">
        <v>5</v>
      </c>
      <c r="X11" s="15">
        <v>1000</v>
      </c>
      <c r="Z11" s="151"/>
      <c r="AB11" s="20" t="s">
        <v>29</v>
      </c>
      <c r="AC11" s="53"/>
      <c r="AD11" s="55">
        <v>59</v>
      </c>
      <c r="AF11" s="29" t="s">
        <v>29</v>
      </c>
      <c r="AG11" s="28" t="s">
        <v>99</v>
      </c>
      <c r="AH11" s="100">
        <f>AH9*AH8</f>
        <v>2520.0000000000005</v>
      </c>
    </row>
    <row r="12" spans="1:37" ht="16" customHeight="1" thickBot="1">
      <c r="A12" s="11" t="s">
        <v>53</v>
      </c>
      <c r="B12" s="63" t="s">
        <v>89</v>
      </c>
      <c r="C12" s="27"/>
      <c r="D12" s="27"/>
      <c r="E12" s="27"/>
      <c r="F12" s="27"/>
      <c r="G12" s="27">
        <f>W2</f>
        <v>300</v>
      </c>
      <c r="H12" s="27">
        <f>W3</f>
        <v>300</v>
      </c>
      <c r="I12" s="13">
        <f>W3</f>
        <v>300</v>
      </c>
      <c r="J12" s="11"/>
      <c r="K12" s="62">
        <f>(K4*$X$7)*(-1)</f>
        <v>-9900</v>
      </c>
      <c r="L12" s="81">
        <f t="shared" ref="L12:L22" si="0">K12/K$10</f>
        <v>-0.37907505686125853</v>
      </c>
      <c r="M12" s="11"/>
      <c r="N12" s="62">
        <f>(N4*$X$7)*(-1)</f>
        <v>-19800</v>
      </c>
      <c r="O12" s="81">
        <f t="shared" ref="O12:O22" si="1">N12/N$10</f>
        <v>-0.37907505686125853</v>
      </c>
      <c r="P12" s="11"/>
      <c r="Q12" s="62">
        <f>(Q4*$X$7)*(-1)</f>
        <v>-30000</v>
      </c>
      <c r="R12" s="81">
        <f t="shared" ref="R12:R22" si="2">Q12/Q$10</f>
        <v>-0.37907505686125853</v>
      </c>
      <c r="T12" s="154"/>
      <c r="V12" s="18"/>
      <c r="W12" s="22"/>
      <c r="X12" s="31"/>
      <c r="Z12" s="151"/>
      <c r="AB12" s="147" t="s">
        <v>35</v>
      </c>
      <c r="AC12" s="148"/>
      <c r="AD12" s="149"/>
      <c r="AF12" s="20"/>
      <c r="AG12" s="68" t="s">
        <v>100</v>
      </c>
      <c r="AH12" s="99">
        <f>AH11*AH10</f>
        <v>632520.00000000012</v>
      </c>
    </row>
    <row r="13" spans="1:37" ht="16" customHeight="1" thickBot="1">
      <c r="A13" s="11" t="s">
        <v>54</v>
      </c>
      <c r="B13" s="63" t="s">
        <v>58</v>
      </c>
      <c r="C13" s="27"/>
      <c r="D13" s="27"/>
      <c r="E13" s="27"/>
      <c r="F13" s="27"/>
      <c r="G13" s="27"/>
      <c r="H13" s="27"/>
      <c r="I13" s="13"/>
      <c r="J13" s="11"/>
      <c r="K13" s="62">
        <f>(K5*$X$15)*(-1)</f>
        <v>-990</v>
      </c>
      <c r="L13" s="81">
        <f t="shared" si="0"/>
        <v>-3.7907505686125852E-2</v>
      </c>
      <c r="M13" s="11"/>
      <c r="N13" s="62">
        <f>(N5*$X$15)*(-1)</f>
        <v>-1980</v>
      </c>
      <c r="O13" s="81">
        <f t="shared" si="1"/>
        <v>-3.7907505686125852E-2</v>
      </c>
      <c r="P13" s="11"/>
      <c r="Q13" s="62">
        <f>(Q5*$X$15)*(-1)</f>
        <v>-3000</v>
      </c>
      <c r="R13" s="81">
        <f t="shared" si="2"/>
        <v>-3.7907505686125852E-2</v>
      </c>
      <c r="T13" s="155"/>
      <c r="V13" s="20" t="s">
        <v>8</v>
      </c>
      <c r="W13" s="23"/>
      <c r="X13" s="24">
        <f>X10/X11</f>
        <v>0.39600000000000002</v>
      </c>
      <c r="Z13" s="151"/>
      <c r="AB13" s="29" t="s">
        <v>30</v>
      </c>
      <c r="AC13" s="45"/>
      <c r="AD13" s="95">
        <v>2</v>
      </c>
    </row>
    <row r="14" spans="1:37" ht="16" customHeight="1" thickBot="1">
      <c r="A14" s="11" t="s">
        <v>55</v>
      </c>
      <c r="B14" s="63" t="s">
        <v>101</v>
      </c>
      <c r="C14" s="27"/>
      <c r="D14" s="27"/>
      <c r="E14" s="27"/>
      <c r="F14" s="62"/>
      <c r="G14" s="27"/>
      <c r="H14" s="27"/>
      <c r="I14" s="13"/>
      <c r="J14" s="11"/>
      <c r="K14" s="62">
        <f>(($X$23*$AD$28)+$AH$12)*(-1)/1000</f>
        <v>-727.39800000000014</v>
      </c>
      <c r="L14" s="81">
        <f t="shared" si="0"/>
        <v>-2.7852367496036947E-2</v>
      </c>
      <c r="M14" s="11"/>
      <c r="N14" s="62">
        <f>((($X$23*$AD$28)*N3)+$AH$12)*(-1)/1000</f>
        <v>-822.27600000000007</v>
      </c>
      <c r="O14" s="81">
        <f t="shared" si="1"/>
        <v>-1.5742642497760011E-2</v>
      </c>
      <c r="P14" s="11"/>
      <c r="Q14" s="62">
        <f>((($X$23*$AD$28)*Q3)+$AH$12)*(-1)/1000</f>
        <v>-917.15400000000022</v>
      </c>
      <c r="R14" s="81">
        <f t="shared" si="2"/>
        <v>-1.1589006823351027E-2</v>
      </c>
      <c r="Z14" s="151"/>
      <c r="AB14" s="20" t="s">
        <v>29</v>
      </c>
      <c r="AC14" s="23"/>
      <c r="AD14" s="56">
        <v>90</v>
      </c>
      <c r="AF14" s="141" t="s">
        <v>110</v>
      </c>
      <c r="AG14" s="142"/>
      <c r="AH14" s="143"/>
    </row>
    <row r="15" spans="1:37" ht="16" customHeight="1" thickBot="1">
      <c r="A15" s="11" t="s">
        <v>56</v>
      </c>
      <c r="B15" s="27" t="s">
        <v>60</v>
      </c>
      <c r="C15" s="27"/>
      <c r="D15" s="27"/>
      <c r="E15" s="34">
        <v>0.02</v>
      </c>
      <c r="F15" s="27"/>
      <c r="G15" s="27"/>
      <c r="H15" s="27"/>
      <c r="I15" s="13"/>
      <c r="J15" s="11"/>
      <c r="K15" s="62">
        <f>($E$15*K10)*(-1)</f>
        <v>-522.32400000000007</v>
      </c>
      <c r="L15" s="81">
        <f t="shared" si="0"/>
        <v>-0.02</v>
      </c>
      <c r="M15" s="11"/>
      <c r="N15" s="62">
        <f>($E$15*N10)*(-1)</f>
        <v>-1044.6480000000001</v>
      </c>
      <c r="O15" s="81">
        <f t="shared" si="1"/>
        <v>-0.02</v>
      </c>
      <c r="P15" s="11"/>
      <c r="Q15" s="62">
        <f>($E$15*Q10)*(-1)</f>
        <v>-1582.8</v>
      </c>
      <c r="R15" s="81">
        <f t="shared" si="2"/>
        <v>-0.02</v>
      </c>
      <c r="T15" s="153" t="s">
        <v>9</v>
      </c>
      <c r="V15" s="29" t="s">
        <v>9</v>
      </c>
      <c r="W15" s="28" t="s">
        <v>5</v>
      </c>
      <c r="X15" s="26">
        <v>40</v>
      </c>
      <c r="Z15" s="151"/>
      <c r="AC15" s="49"/>
      <c r="AD15" s="49"/>
      <c r="AF15" s="107" t="s">
        <v>111</v>
      </c>
      <c r="AG15" s="110">
        <v>0.4</v>
      </c>
      <c r="AH15" s="26">
        <v>40</v>
      </c>
    </row>
    <row r="16" spans="1:37" ht="16" customHeight="1" thickBot="1">
      <c r="A16" s="11" t="s">
        <v>105</v>
      </c>
      <c r="B16" s="63" t="s">
        <v>106</v>
      </c>
      <c r="C16" s="27"/>
      <c r="D16" s="27"/>
      <c r="E16" s="34"/>
      <c r="F16" s="27"/>
      <c r="G16" s="27"/>
      <c r="H16" s="27"/>
      <c r="I16" s="13"/>
      <c r="J16" s="11"/>
      <c r="K16" s="62">
        <f>($AD$18*$AD$21+$AD$23*$AD$26)*(-1)</f>
        <v>-696</v>
      </c>
      <c r="L16" s="81">
        <f t="shared" si="0"/>
        <v>-2.6650125209639993E-2</v>
      </c>
      <c r="M16" s="11"/>
      <c r="N16" s="62">
        <f>($AD$18*$AD$21+$AD$23*$AD$26)*(-1)*N3</f>
        <v>-1392</v>
      </c>
      <c r="O16" s="81">
        <f t="shared" si="1"/>
        <v>-2.6650125209639993E-2</v>
      </c>
      <c r="P16" s="11"/>
      <c r="Q16" s="62">
        <f>($AD$18*$AD$21+$AD$23*$AD$26)*(-1)*Q3</f>
        <v>-2088</v>
      </c>
      <c r="R16" s="81">
        <f t="shared" si="2"/>
        <v>-2.6383623957543595E-2</v>
      </c>
      <c r="T16" s="154"/>
      <c r="V16" s="18"/>
      <c r="W16" s="35"/>
      <c r="X16" s="12"/>
      <c r="Z16" s="151"/>
      <c r="AB16" s="144" t="s">
        <v>32</v>
      </c>
      <c r="AC16" s="145"/>
      <c r="AD16" s="146"/>
      <c r="AF16" s="108" t="s">
        <v>112</v>
      </c>
      <c r="AG16" s="111">
        <v>0.6</v>
      </c>
      <c r="AH16" s="15">
        <v>80</v>
      </c>
    </row>
    <row r="17" spans="1:35" ht="16" customHeight="1" thickBot="1">
      <c r="A17" s="66" t="s">
        <v>62</v>
      </c>
      <c r="B17" s="64" t="s">
        <v>63</v>
      </c>
      <c r="C17" s="64"/>
      <c r="D17" s="64"/>
      <c r="E17" s="64"/>
      <c r="F17" s="64"/>
      <c r="G17" s="64"/>
      <c r="H17" s="64"/>
      <c r="I17" s="67"/>
      <c r="J17" s="66"/>
      <c r="K17" s="65">
        <f>SUM(K10:K16)</f>
        <v>13280.477999999999</v>
      </c>
      <c r="L17" s="83">
        <f t="shared" si="0"/>
        <v>0.50851494474693859</v>
      </c>
      <c r="M17" s="66"/>
      <c r="N17" s="65">
        <f>SUM(N10:N16)</f>
        <v>27193.475999999999</v>
      </c>
      <c r="O17" s="83">
        <f t="shared" si="1"/>
        <v>0.5206246697452156</v>
      </c>
      <c r="P17" s="66"/>
      <c r="Q17" s="65">
        <f>SUM(Q10:Q16)</f>
        <v>41552.045999999995</v>
      </c>
      <c r="R17" s="83">
        <f t="shared" si="2"/>
        <v>0.52504480667172093</v>
      </c>
      <c r="T17" s="155"/>
      <c r="V17" s="20" t="s">
        <v>3</v>
      </c>
      <c r="W17" s="69" t="s">
        <v>57</v>
      </c>
      <c r="X17" s="30">
        <v>7.0000000000000007E-2</v>
      </c>
      <c r="Z17" s="151"/>
      <c r="AB17" s="147" t="s">
        <v>146</v>
      </c>
      <c r="AC17" s="148"/>
      <c r="AD17" s="149"/>
      <c r="AF17" s="109" t="s">
        <v>5</v>
      </c>
      <c r="AG17" s="106">
        <f>AG16+AG15</f>
        <v>1</v>
      </c>
      <c r="AH17" s="112">
        <f>AG15*AH15+AG16*AH16</f>
        <v>64</v>
      </c>
    </row>
    <row r="18" spans="1:35" ht="16" customHeight="1" thickBot="1">
      <c r="A18" s="77" t="s">
        <v>65</v>
      </c>
      <c r="B18" s="63" t="s">
        <v>64</v>
      </c>
      <c r="C18" s="27"/>
      <c r="D18" s="27"/>
      <c r="E18" s="27"/>
      <c r="F18" s="27"/>
      <c r="G18" s="27"/>
      <c r="H18" s="27"/>
      <c r="I18" s="13"/>
      <c r="J18" s="11"/>
      <c r="K18" s="62">
        <f>($AD$2*$AD$3+$AD$7*$AD$8+$AD$10*$AD$11+$AD$13*$AD$14)*(-1)</f>
        <v>-783</v>
      </c>
      <c r="L18" s="81">
        <f t="shared" si="0"/>
        <v>-2.9981390860844993E-2</v>
      </c>
      <c r="M18" s="11"/>
      <c r="N18" s="62">
        <f>($AD$2*$AD$3+$AD$7*$AD$8+$AD$10*$AD$11+$AD$13*$AD$14)*(-1)</f>
        <v>-783</v>
      </c>
      <c r="O18" s="81">
        <f t="shared" si="1"/>
        <v>-1.4990695430422496E-2</v>
      </c>
      <c r="P18" s="11"/>
      <c r="Q18" s="62">
        <f>($AD$2*$AD$3+$AD$7*$AD$8+$AD$10*$AD$11+$AD$13*$AD$14)*(-1)</f>
        <v>-783</v>
      </c>
      <c r="R18" s="81">
        <f t="shared" si="2"/>
        <v>-9.8938589840788481E-3</v>
      </c>
      <c r="Z18" s="151"/>
      <c r="AB18" s="29" t="s">
        <v>30</v>
      </c>
      <c r="AC18" s="45" t="s">
        <v>36</v>
      </c>
      <c r="AD18" s="37">
        <v>2</v>
      </c>
      <c r="AF18" s="114" t="s">
        <v>113</v>
      </c>
      <c r="AG18" s="113">
        <v>0.8</v>
      </c>
      <c r="AH18" s="112">
        <f>AG18*AH17</f>
        <v>51.2</v>
      </c>
      <c r="AI18" s="33"/>
    </row>
    <row r="19" spans="1:35" ht="16" customHeight="1">
      <c r="A19" s="77" t="s">
        <v>66</v>
      </c>
      <c r="B19" s="27" t="s">
        <v>107</v>
      </c>
      <c r="C19" s="27"/>
      <c r="D19" s="27"/>
      <c r="E19" s="27"/>
      <c r="F19" s="27"/>
      <c r="G19" s="62">
        <f>X25/1000</f>
        <v>11000</v>
      </c>
      <c r="H19" s="62">
        <f>X26/1000</f>
        <v>16000</v>
      </c>
      <c r="I19" s="78"/>
      <c r="J19" s="11"/>
      <c r="K19" s="62">
        <f>($X$25/$W$25+$X$26/$W$26)/1000*(-1)</f>
        <v>-1981.6849816849817</v>
      </c>
      <c r="L19" s="81">
        <f t="shared" si="0"/>
        <v>-7.5879530011448135E-2</v>
      </c>
      <c r="M19" s="11"/>
      <c r="N19" s="62">
        <f>($X$25/$W$25+$X$26/$W$26)/1000*(-1)</f>
        <v>-1981.6849816849817</v>
      </c>
      <c r="O19" s="81">
        <f t="shared" si="1"/>
        <v>-3.7939765005724067E-2</v>
      </c>
      <c r="P19" s="11"/>
      <c r="Q19" s="62">
        <f>($X$25/$W$25+$X$26/$W$26)/1000*(-1)</f>
        <v>-1981.6849816849817</v>
      </c>
      <c r="R19" s="81">
        <f t="shared" si="2"/>
        <v>-2.5040244903777882E-2</v>
      </c>
      <c r="T19" s="153" t="s">
        <v>19</v>
      </c>
      <c r="V19" s="29" t="s">
        <v>10</v>
      </c>
      <c r="W19" s="28" t="s">
        <v>14</v>
      </c>
      <c r="X19" s="37">
        <v>7.0000000000000007E-2</v>
      </c>
      <c r="Z19" s="151"/>
      <c r="AB19" s="51"/>
      <c r="AC19" s="22" t="s">
        <v>37</v>
      </c>
      <c r="AD19" s="38">
        <v>4</v>
      </c>
      <c r="AH19" s="1"/>
      <c r="AI19" s="33"/>
    </row>
    <row r="20" spans="1:35" ht="16" customHeight="1">
      <c r="A20" s="77" t="s">
        <v>67</v>
      </c>
      <c r="B20" s="27" t="s">
        <v>68</v>
      </c>
      <c r="C20" s="27"/>
      <c r="D20" s="27"/>
      <c r="E20" s="34">
        <v>0.04</v>
      </c>
      <c r="F20" s="27"/>
      <c r="G20" s="27"/>
      <c r="H20" s="27"/>
      <c r="I20" s="13"/>
      <c r="J20" s="11"/>
      <c r="K20" s="62">
        <f>K10*$E$20*(-1)</f>
        <v>-1044.6480000000001</v>
      </c>
      <c r="L20" s="81">
        <f t="shared" si="0"/>
        <v>-0.04</v>
      </c>
      <c r="M20" s="11"/>
      <c r="N20" s="62">
        <f>N10*$E$20*(-1)</f>
        <v>-2089.2960000000003</v>
      </c>
      <c r="O20" s="81">
        <f t="shared" si="1"/>
        <v>-0.04</v>
      </c>
      <c r="P20" s="11"/>
      <c r="Q20" s="62">
        <f>Q10*$E$20*(-1)</f>
        <v>-3165.6</v>
      </c>
      <c r="R20" s="81">
        <f t="shared" si="2"/>
        <v>-0.04</v>
      </c>
      <c r="T20" s="154"/>
      <c r="V20" s="18" t="s">
        <v>11</v>
      </c>
      <c r="W20" s="35" t="s">
        <v>15</v>
      </c>
      <c r="X20" s="38">
        <v>1500</v>
      </c>
      <c r="Z20" s="151"/>
      <c r="AB20" s="18"/>
      <c r="AC20" s="22" t="s">
        <v>38</v>
      </c>
      <c r="AD20" s="38">
        <v>6</v>
      </c>
    </row>
    <row r="21" spans="1:35" ht="16" customHeight="1" thickBot="1">
      <c r="A21" s="77" t="s">
        <v>53</v>
      </c>
      <c r="B21" s="27" t="s">
        <v>69</v>
      </c>
      <c r="C21" s="27"/>
      <c r="D21" s="27"/>
      <c r="E21" s="34">
        <v>0.04</v>
      </c>
      <c r="F21" s="27"/>
      <c r="G21" s="27"/>
      <c r="H21" s="27"/>
      <c r="I21" s="13"/>
      <c r="J21" s="11"/>
      <c r="K21" s="62">
        <f>K10*$E$21*(-1)</f>
        <v>-1044.6480000000001</v>
      </c>
      <c r="L21" s="81">
        <f t="shared" si="0"/>
        <v>-0.04</v>
      </c>
      <c r="M21" s="11"/>
      <c r="N21" s="62">
        <f>N10*$E$21*(-1)</f>
        <v>-2089.2960000000003</v>
      </c>
      <c r="O21" s="81">
        <f t="shared" si="1"/>
        <v>-0.04</v>
      </c>
      <c r="P21" s="11"/>
      <c r="Q21" s="62">
        <f>Q10*$E$21*(-1)</f>
        <v>-3165.6</v>
      </c>
      <c r="R21" s="81">
        <f t="shared" si="2"/>
        <v>-0.04</v>
      </c>
      <c r="T21" s="154"/>
      <c r="V21" s="18" t="s">
        <v>12</v>
      </c>
      <c r="W21" s="35"/>
      <c r="X21" s="39">
        <v>0.45</v>
      </c>
      <c r="Z21" s="151"/>
      <c r="AB21" s="20" t="s">
        <v>29</v>
      </c>
      <c r="AC21" s="23"/>
      <c r="AD21" s="36">
        <v>78</v>
      </c>
    </row>
    <row r="22" spans="1:35" ht="16" customHeight="1" thickBot="1">
      <c r="A22" s="66" t="s">
        <v>70</v>
      </c>
      <c r="B22" s="64" t="s">
        <v>71</v>
      </c>
      <c r="C22" s="32"/>
      <c r="D22" s="32"/>
      <c r="E22" s="32"/>
      <c r="F22" s="32"/>
      <c r="G22" s="32"/>
      <c r="H22" s="32"/>
      <c r="I22" s="22"/>
      <c r="J22" s="66"/>
      <c r="K22" s="65">
        <f>SUM(K17:K21)</f>
        <v>8426.4970183150144</v>
      </c>
      <c r="L22" s="83">
        <f t="shared" si="0"/>
        <v>0.32265402387464542</v>
      </c>
      <c r="M22" s="66"/>
      <c r="N22" s="65">
        <f>SUM(N17:N21)</f>
        <v>20250.199018315012</v>
      </c>
      <c r="O22" s="83">
        <f t="shared" si="1"/>
        <v>0.38769420930906889</v>
      </c>
      <c r="P22" s="84"/>
      <c r="Q22" s="65">
        <f>SUM(Q17:Q21)</f>
        <v>32456.161018315019</v>
      </c>
      <c r="R22" s="83">
        <f t="shared" si="2"/>
        <v>0.4101107027838643</v>
      </c>
      <c r="T22" s="154"/>
      <c r="V22" s="18" t="s">
        <v>13</v>
      </c>
      <c r="W22" s="35" t="s">
        <v>16</v>
      </c>
      <c r="X22" s="41">
        <f>X20*X19*X21</f>
        <v>47.250000000000007</v>
      </c>
      <c r="Z22" s="151"/>
      <c r="AB22" s="147" t="s">
        <v>31</v>
      </c>
      <c r="AC22" s="148"/>
      <c r="AD22" s="149"/>
    </row>
    <row r="23" spans="1:35" ht="16" customHeight="1" thickBot="1">
      <c r="A23" s="77" t="s">
        <v>72</v>
      </c>
      <c r="B23" s="63" t="s">
        <v>73</v>
      </c>
      <c r="C23" s="27"/>
      <c r="D23" s="27"/>
      <c r="E23" s="27"/>
      <c r="F23" s="27"/>
      <c r="G23" s="27"/>
      <c r="H23" s="27"/>
      <c r="I23" s="13"/>
      <c r="J23" s="11"/>
      <c r="K23" s="62"/>
      <c r="L23" s="13"/>
      <c r="M23" s="11"/>
      <c r="N23" s="62"/>
      <c r="O23" s="13"/>
      <c r="P23" s="11"/>
      <c r="Q23" s="62"/>
      <c r="R23" s="13"/>
      <c r="T23" s="155"/>
      <c r="V23" s="20" t="s">
        <v>17</v>
      </c>
      <c r="W23" s="36">
        <v>8</v>
      </c>
      <c r="X23" s="40">
        <f>X22*W23</f>
        <v>378.00000000000006</v>
      </c>
      <c r="Z23" s="151"/>
      <c r="AB23" s="29" t="s">
        <v>30</v>
      </c>
      <c r="AC23" s="45" t="s">
        <v>36</v>
      </c>
      <c r="AD23" s="37">
        <v>12</v>
      </c>
    </row>
    <row r="24" spans="1:35" ht="16" customHeight="1" thickBot="1">
      <c r="A24" s="77" t="s">
        <v>74</v>
      </c>
      <c r="B24" s="63" t="s">
        <v>25</v>
      </c>
      <c r="C24" s="79">
        <f>$X$28</f>
        <v>0.08</v>
      </c>
      <c r="D24" s="80" t="s">
        <v>26</v>
      </c>
      <c r="E24" s="79">
        <f>$X$35</f>
        <v>0.04</v>
      </c>
      <c r="F24" s="80" t="s">
        <v>75</v>
      </c>
      <c r="G24" s="27">
        <f>X36</f>
        <v>2</v>
      </c>
      <c r="H24" s="27"/>
      <c r="I24" s="13"/>
      <c r="J24" s="11"/>
      <c r="K24" s="62">
        <f>(((($X$29*$X$28)+(((K12+K13+K14+K15)*(-1))*$X$35)/12*$G$24))*(-1))/1000</f>
        <v>-2240.0809314799999</v>
      </c>
      <c r="L24" s="13"/>
      <c r="M24" s="11"/>
      <c r="N24" s="62">
        <f>(((($X$29*$X$28)+(((N12+N13+N14+N15)*(-1))*$X$35)/12*$G$24))*(-1))/1000</f>
        <v>-2240.1576461599998</v>
      </c>
      <c r="O24" s="13"/>
      <c r="P24" s="11"/>
      <c r="Q24" s="62">
        <f>(((($X$29*$X$28)+(((Q12+Q13+Q14+Q15)*(-1))*$X$35)/12*$G$24))*(-1))/1000</f>
        <v>-2240.2366663600001</v>
      </c>
      <c r="R24" s="13"/>
      <c r="Z24" s="151"/>
      <c r="AB24" s="51"/>
      <c r="AC24" s="22" t="s">
        <v>37</v>
      </c>
      <c r="AD24" s="38">
        <v>24</v>
      </c>
    </row>
    <row r="25" spans="1:35" ht="16" customHeight="1">
      <c r="A25" s="77" t="s">
        <v>76</v>
      </c>
      <c r="B25" s="63" t="s">
        <v>77</v>
      </c>
      <c r="C25" s="27"/>
      <c r="D25" s="27"/>
      <c r="E25" s="27"/>
      <c r="F25" s="27"/>
      <c r="G25" s="27"/>
      <c r="H25" s="27"/>
      <c r="I25" s="13"/>
      <c r="J25" s="11"/>
      <c r="K25" s="62"/>
      <c r="L25" s="13"/>
      <c r="M25" s="11"/>
      <c r="N25" s="62"/>
      <c r="O25" s="13"/>
      <c r="P25" s="11"/>
      <c r="Q25" s="62"/>
      <c r="R25" s="13"/>
      <c r="T25" s="153" t="s">
        <v>25</v>
      </c>
      <c r="V25" s="29" t="s">
        <v>20</v>
      </c>
      <c r="W25" s="101">
        <v>7</v>
      </c>
      <c r="X25" s="37">
        <v>11000000</v>
      </c>
      <c r="Z25" s="151"/>
      <c r="AB25" s="18"/>
      <c r="AC25" s="22" t="s">
        <v>38</v>
      </c>
      <c r="AD25" s="38">
        <v>36</v>
      </c>
    </row>
    <row r="26" spans="1:35" ht="16" customHeight="1" thickBot="1">
      <c r="A26" s="66" t="s">
        <v>78</v>
      </c>
      <c r="B26" s="64" t="s">
        <v>79</v>
      </c>
      <c r="C26" s="64"/>
      <c r="D26" s="64"/>
      <c r="E26" s="64"/>
      <c r="F26" s="64"/>
      <c r="G26" s="64"/>
      <c r="H26" s="64"/>
      <c r="I26" s="67"/>
      <c r="J26" s="66"/>
      <c r="K26" s="65">
        <f>SUM(K22:K25)</f>
        <v>6186.4160868350145</v>
      </c>
      <c r="L26" s="67"/>
      <c r="M26" s="66"/>
      <c r="N26" s="65">
        <f>SUM(N22:N25)</f>
        <v>18010.041372155014</v>
      </c>
      <c r="O26" s="67"/>
      <c r="P26" s="66"/>
      <c r="Q26" s="65">
        <f>SUM(Q22:Q25)</f>
        <v>30215.924351955018</v>
      </c>
      <c r="R26" s="67"/>
      <c r="T26" s="154"/>
      <c r="V26" s="18" t="s">
        <v>39</v>
      </c>
      <c r="W26" s="102">
        <v>39</v>
      </c>
      <c r="X26" s="44">
        <v>16000000</v>
      </c>
      <c r="Z26" s="151"/>
      <c r="AB26" s="20" t="s">
        <v>29</v>
      </c>
      <c r="AC26" s="23"/>
      <c r="AD26" s="36">
        <v>45</v>
      </c>
    </row>
    <row r="27" spans="1:35" ht="16" customHeight="1" thickBot="1">
      <c r="A27" s="77" t="s">
        <v>80</v>
      </c>
      <c r="B27" s="63" t="s">
        <v>81</v>
      </c>
      <c r="C27" s="27"/>
      <c r="D27" s="27"/>
      <c r="E27" s="34">
        <v>0.28000000000000003</v>
      </c>
      <c r="F27" s="27"/>
      <c r="G27" s="27"/>
      <c r="H27" s="27"/>
      <c r="I27" s="13"/>
      <c r="J27" s="11"/>
      <c r="K27" s="62">
        <f>K26*$E$27*(-1)</f>
        <v>-1732.1965043138043</v>
      </c>
      <c r="L27" s="13"/>
      <c r="M27" s="11"/>
      <c r="N27" s="62">
        <f>N26*$E$27*(-1)</f>
        <v>-5042.811584203404</v>
      </c>
      <c r="O27" s="13"/>
      <c r="P27" s="11"/>
      <c r="Q27" s="62">
        <f>Q26*$E$27*(-1)</f>
        <v>-8460.4588185474058</v>
      </c>
      <c r="R27" s="13"/>
      <c r="T27" s="154"/>
      <c r="V27" s="18" t="s">
        <v>23</v>
      </c>
      <c r="W27" s="104" t="s">
        <v>145</v>
      </c>
      <c r="X27" s="44">
        <v>1000000</v>
      </c>
      <c r="Z27" s="152"/>
    </row>
    <row r="28" spans="1:35" ht="16" customHeight="1" thickBot="1">
      <c r="A28" s="66" t="s">
        <v>82</v>
      </c>
      <c r="B28" s="64" t="s">
        <v>83</v>
      </c>
      <c r="C28" s="64"/>
      <c r="D28" s="64"/>
      <c r="E28" s="64"/>
      <c r="F28" s="64"/>
      <c r="G28" s="64"/>
      <c r="H28" s="64"/>
      <c r="I28" s="67"/>
      <c r="J28" s="66"/>
      <c r="K28" s="65">
        <f>SUM(K26:K27)</f>
        <v>4454.2195825212102</v>
      </c>
      <c r="L28" s="67"/>
      <c r="M28" s="66"/>
      <c r="N28" s="65">
        <f>SUM(N26:N27)</f>
        <v>12967.22978795161</v>
      </c>
      <c r="O28" s="67"/>
      <c r="P28" s="66"/>
      <c r="Q28" s="65">
        <f>SUM(Q26:Q27)</f>
        <v>21755.465533407612</v>
      </c>
      <c r="R28" s="67"/>
      <c r="T28" s="154"/>
      <c r="V28" s="18" t="s">
        <v>22</v>
      </c>
      <c r="W28" s="32"/>
      <c r="X28" s="42">
        <v>0.08</v>
      </c>
      <c r="AB28" s="70" t="s">
        <v>59</v>
      </c>
      <c r="AC28" s="71"/>
      <c r="AD28" s="72">
        <v>251</v>
      </c>
    </row>
    <row r="29" spans="1:35" ht="16" customHeight="1" thickBot="1">
      <c r="A29" s="77" t="s">
        <v>84</v>
      </c>
      <c r="B29" s="82" t="s">
        <v>85</v>
      </c>
      <c r="C29" s="27"/>
      <c r="D29" s="27"/>
      <c r="E29" s="27"/>
      <c r="F29" s="27"/>
      <c r="G29" s="27"/>
      <c r="H29" s="27"/>
      <c r="I29" s="13"/>
      <c r="J29" s="11"/>
      <c r="K29" s="62">
        <f>K19*(-1)</f>
        <v>1981.6849816849817</v>
      </c>
      <c r="L29" s="13"/>
      <c r="M29" s="11"/>
      <c r="N29" s="62">
        <f>N19*(-1)</f>
        <v>1981.6849816849817</v>
      </c>
      <c r="O29" s="13"/>
      <c r="P29" s="11"/>
      <c r="Q29" s="62">
        <f>Q19*(-1)</f>
        <v>1981.6849816849817</v>
      </c>
      <c r="R29" s="13"/>
      <c r="T29" s="155"/>
      <c r="V29" s="20" t="s">
        <v>24</v>
      </c>
      <c r="W29" s="103"/>
      <c r="X29" s="43">
        <f>SUM(X25:X27)</f>
        <v>28000000</v>
      </c>
    </row>
    <row r="30" spans="1:35" ht="16" customHeight="1" thickBot="1">
      <c r="A30" s="66" t="s">
        <v>86</v>
      </c>
      <c r="B30" s="64" t="s">
        <v>87</v>
      </c>
      <c r="C30" s="32"/>
      <c r="D30" s="32"/>
      <c r="E30" s="64"/>
      <c r="F30" s="64"/>
      <c r="G30" s="64"/>
      <c r="H30" s="64"/>
      <c r="I30" s="67"/>
      <c r="J30" s="66"/>
      <c r="K30" s="65">
        <f>SUM(K28:K29)</f>
        <v>6435.9045642061919</v>
      </c>
      <c r="L30" s="67"/>
      <c r="M30" s="66"/>
      <c r="N30" s="65">
        <f>SUM(N28:N29)</f>
        <v>14948.914769636591</v>
      </c>
      <c r="O30" s="67"/>
      <c r="P30" s="66"/>
      <c r="Q30" s="65">
        <f>SUM(Q28:Q29)</f>
        <v>23737.150515092595</v>
      </c>
      <c r="R30" s="85"/>
    </row>
    <row r="31" spans="1:35" ht="16" customHeight="1" thickBot="1">
      <c r="A31" s="86" t="s">
        <v>88</v>
      </c>
      <c r="B31" s="87" t="s">
        <v>102</v>
      </c>
      <c r="C31" s="87"/>
      <c r="D31" s="87"/>
      <c r="E31" s="87"/>
      <c r="F31" s="87"/>
      <c r="G31" s="87"/>
      <c r="H31" s="87"/>
      <c r="I31" s="88"/>
      <c r="J31" s="86"/>
      <c r="K31" s="89">
        <f>K22/($X$29/1000)</f>
        <v>0.30094632208267907</v>
      </c>
      <c r="L31" s="88"/>
      <c r="M31" s="86"/>
      <c r="N31" s="89">
        <f>N22/($X$29/1000)</f>
        <v>0.72322139351125048</v>
      </c>
      <c r="O31" s="88"/>
      <c r="P31" s="86"/>
      <c r="Q31" s="89">
        <f>Q22/($X$29/1000)</f>
        <v>1.159148607796965</v>
      </c>
      <c r="R31" s="88"/>
      <c r="T31" s="153" t="s">
        <v>26</v>
      </c>
      <c r="V31" s="29"/>
      <c r="W31" s="45"/>
      <c r="X31" s="46"/>
    </row>
    <row r="32" spans="1:35" ht="16" customHeight="1">
      <c r="K32" s="61"/>
      <c r="N32" s="61"/>
      <c r="Q32" s="61"/>
      <c r="T32" s="154"/>
      <c r="V32" s="18"/>
      <c r="W32" s="22"/>
      <c r="X32" s="47"/>
    </row>
    <row r="33" spans="11:24" ht="16" customHeight="1">
      <c r="K33" s="61"/>
      <c r="N33" s="61"/>
      <c r="Q33" s="61"/>
      <c r="T33" s="154"/>
      <c r="V33" s="18"/>
      <c r="W33" s="22"/>
      <c r="X33" s="47"/>
    </row>
    <row r="34" spans="11:24" ht="16" customHeight="1">
      <c r="K34" s="61"/>
      <c r="N34" s="61"/>
      <c r="Q34" s="61"/>
      <c r="T34" s="154"/>
      <c r="V34" s="18"/>
      <c r="W34" s="22"/>
      <c r="X34" s="47"/>
    </row>
    <row r="35" spans="11:24" ht="16" customHeight="1">
      <c r="K35" s="61"/>
      <c r="N35" s="61"/>
      <c r="Q35" s="61"/>
      <c r="T35" s="154"/>
      <c r="V35" s="18" t="s">
        <v>22</v>
      </c>
      <c r="W35" s="22"/>
      <c r="X35" s="42">
        <v>0.04</v>
      </c>
    </row>
    <row r="36" spans="11:24" ht="16" customHeight="1" thickBot="1">
      <c r="K36" s="61"/>
      <c r="N36" s="61"/>
      <c r="Q36" s="61"/>
      <c r="T36" s="155"/>
      <c r="V36" s="20" t="s">
        <v>27</v>
      </c>
      <c r="W36" s="23"/>
      <c r="X36" s="48">
        <v>2</v>
      </c>
    </row>
    <row r="37" spans="11:24">
      <c r="Q37" s="61"/>
    </row>
    <row r="38" spans="11:24">
      <c r="Q38" s="61"/>
    </row>
    <row r="39" spans="11:24">
      <c r="Q39" s="61"/>
    </row>
    <row r="40" spans="11:24">
      <c r="Q40" s="61"/>
    </row>
    <row r="42" spans="11:24">
      <c r="Q42" s="61"/>
    </row>
  </sheetData>
  <mergeCells count="18">
    <mergeCell ref="Z1:Z27"/>
    <mergeCell ref="V1:X1"/>
    <mergeCell ref="AB1:AD1"/>
    <mergeCell ref="T31:T36"/>
    <mergeCell ref="A1:R1"/>
    <mergeCell ref="T1:T13"/>
    <mergeCell ref="T15:T17"/>
    <mergeCell ref="T19:T23"/>
    <mergeCell ref="T25:T29"/>
    <mergeCell ref="AF1:AH1"/>
    <mergeCell ref="AB16:AD16"/>
    <mergeCell ref="AB22:AD22"/>
    <mergeCell ref="AB17:AD17"/>
    <mergeCell ref="AB12:AD12"/>
    <mergeCell ref="AB9:AD9"/>
    <mergeCell ref="AB6:AD6"/>
    <mergeCell ref="AB5:AD5"/>
    <mergeCell ref="AF14:AH14"/>
  </mergeCells>
  <pageMargins left="0.7" right="0.7" top="0.78740157499999996" bottom="0.78740157499999996" header="0.3" footer="0.3"/>
  <pageSetup scale="90" orientation="landscape" horizontalDpi="0" verticalDpi="0"/>
  <ignoredErrors>
    <ignoredError sqref="X2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24823-4069-CE4B-B9A3-2F57069BE46A}">
  <dimension ref="A1:P135"/>
  <sheetViews>
    <sheetView workbookViewId="0">
      <selection activeCell="E15" sqref="E15"/>
    </sheetView>
  </sheetViews>
  <sheetFormatPr baseColWidth="10" defaultRowHeight="16"/>
  <cols>
    <col min="1" max="1" width="4.33203125" customWidth="1"/>
    <col min="2" max="16" width="12.83203125" customWidth="1"/>
  </cols>
  <sheetData>
    <row r="1" spans="1:16">
      <c r="A1" s="159" t="s">
        <v>116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1"/>
    </row>
    <row r="2" spans="1:16">
      <c r="A2" s="11"/>
      <c r="B2" s="117" t="s">
        <v>109</v>
      </c>
      <c r="C2" s="27"/>
      <c r="D2" s="27"/>
      <c r="E2" s="129" t="s">
        <v>121</v>
      </c>
      <c r="F2" s="129" t="s">
        <v>122</v>
      </c>
      <c r="G2" s="129" t="s">
        <v>133</v>
      </c>
      <c r="H2" s="129" t="s">
        <v>134</v>
      </c>
      <c r="I2" s="129" t="s">
        <v>123</v>
      </c>
      <c r="J2" s="129" t="s">
        <v>124</v>
      </c>
      <c r="K2" s="129" t="s">
        <v>125</v>
      </c>
      <c r="L2" s="129" t="s">
        <v>126</v>
      </c>
      <c r="M2" s="129" t="s">
        <v>127</v>
      </c>
      <c r="N2" s="129" t="s">
        <v>128</v>
      </c>
      <c r="O2" s="129" t="s">
        <v>129</v>
      </c>
      <c r="P2" s="130" t="s">
        <v>130</v>
      </c>
    </row>
    <row r="3" spans="1:16">
      <c r="A3" s="18" t="s">
        <v>42</v>
      </c>
      <c r="B3" s="64" t="s">
        <v>114</v>
      </c>
      <c r="C3" s="32"/>
      <c r="D3" s="3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31"/>
    </row>
    <row r="4" spans="1:16">
      <c r="A4" s="11" t="s">
        <v>43</v>
      </c>
      <c r="B4" s="27" t="s">
        <v>110</v>
      </c>
      <c r="C4" s="27"/>
      <c r="D4" s="27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32"/>
    </row>
    <row r="5" spans="1:16">
      <c r="A5" s="11" t="s">
        <v>44</v>
      </c>
      <c r="B5" s="27" t="s">
        <v>144</v>
      </c>
      <c r="C5" s="27"/>
      <c r="D5" s="27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32"/>
    </row>
    <row r="6" spans="1:16">
      <c r="A6" s="11" t="s">
        <v>47</v>
      </c>
      <c r="B6" s="27" t="s">
        <v>50</v>
      </c>
      <c r="C6" s="27"/>
      <c r="D6" s="27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32"/>
    </row>
    <row r="7" spans="1:16">
      <c r="A7" s="66" t="s">
        <v>48</v>
      </c>
      <c r="B7" s="64" t="s">
        <v>51</v>
      </c>
      <c r="C7" s="32"/>
      <c r="D7" s="32"/>
      <c r="E7" s="122">
        <f t="shared" ref="E7:P7" si="0">SUM(E3:E6)</f>
        <v>0</v>
      </c>
      <c r="F7" s="122">
        <f t="shared" si="0"/>
        <v>0</v>
      </c>
      <c r="G7" s="122">
        <f t="shared" si="0"/>
        <v>0</v>
      </c>
      <c r="H7" s="122">
        <f t="shared" si="0"/>
        <v>0</v>
      </c>
      <c r="I7" s="122">
        <f t="shared" si="0"/>
        <v>0</v>
      </c>
      <c r="J7" s="122">
        <f t="shared" si="0"/>
        <v>0</v>
      </c>
      <c r="K7" s="122">
        <f t="shared" si="0"/>
        <v>0</v>
      </c>
      <c r="L7" s="122">
        <f t="shared" si="0"/>
        <v>0</v>
      </c>
      <c r="M7" s="122">
        <f t="shared" si="0"/>
        <v>0</v>
      </c>
      <c r="N7" s="122">
        <f t="shared" si="0"/>
        <v>0</v>
      </c>
      <c r="O7" s="122">
        <f t="shared" si="0"/>
        <v>0</v>
      </c>
      <c r="P7" s="131">
        <f t="shared" si="0"/>
        <v>0</v>
      </c>
    </row>
    <row r="8" spans="1:16">
      <c r="A8" s="11" t="s">
        <v>49</v>
      </c>
      <c r="B8" s="27" t="s">
        <v>52</v>
      </c>
      <c r="C8" s="27"/>
      <c r="D8" s="27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33"/>
    </row>
    <row r="9" spans="1:16" ht="19">
      <c r="A9" s="11" t="s">
        <v>53</v>
      </c>
      <c r="B9" s="27" t="s">
        <v>89</v>
      </c>
      <c r="C9" s="27"/>
      <c r="D9" s="27"/>
      <c r="E9" s="123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34"/>
    </row>
    <row r="10" spans="1:16">
      <c r="A10" s="11" t="s">
        <v>54</v>
      </c>
      <c r="B10" s="27" t="s">
        <v>58</v>
      </c>
      <c r="C10" s="27"/>
      <c r="D10" s="27"/>
      <c r="E10" s="123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34"/>
    </row>
    <row r="11" spans="1:16">
      <c r="A11" s="11" t="s">
        <v>55</v>
      </c>
      <c r="B11" s="27" t="s">
        <v>101</v>
      </c>
      <c r="C11" s="27"/>
      <c r="D11" s="27"/>
      <c r="E11" s="123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34"/>
    </row>
    <row r="12" spans="1:16">
      <c r="A12" s="11" t="s">
        <v>56</v>
      </c>
      <c r="B12" s="27" t="s">
        <v>60</v>
      </c>
      <c r="C12" s="27"/>
      <c r="D12" s="27"/>
      <c r="E12" s="123"/>
      <c r="F12" s="125">
        <v>-5500</v>
      </c>
      <c r="G12" s="125"/>
      <c r="H12" s="125"/>
      <c r="I12" s="125"/>
      <c r="J12" s="125"/>
      <c r="K12" s="125"/>
      <c r="L12" s="125"/>
      <c r="M12" s="125"/>
      <c r="N12" s="125"/>
      <c r="O12" s="125"/>
      <c r="P12" s="134"/>
    </row>
    <row r="13" spans="1:16">
      <c r="A13" s="11" t="s">
        <v>105</v>
      </c>
      <c r="B13" s="27" t="s">
        <v>106</v>
      </c>
      <c r="C13" s="27"/>
      <c r="D13" s="27"/>
      <c r="E13" s="123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34"/>
    </row>
    <row r="14" spans="1:16">
      <c r="A14" s="66" t="s">
        <v>62</v>
      </c>
      <c r="B14" s="64" t="s">
        <v>63</v>
      </c>
      <c r="C14" s="32"/>
      <c r="D14" s="32"/>
      <c r="E14" s="126">
        <f>SUM(E7:E13)</f>
        <v>0</v>
      </c>
      <c r="F14" s="126">
        <f>SUM(F7:F13)</f>
        <v>-5500</v>
      </c>
      <c r="G14" s="126">
        <f>SUM(G7:G13)</f>
        <v>0</v>
      </c>
      <c r="H14" s="126">
        <f t="shared" ref="H14:P14" si="1">SUM(H7:H13)</f>
        <v>0</v>
      </c>
      <c r="I14" s="126">
        <f t="shared" si="1"/>
        <v>0</v>
      </c>
      <c r="J14" s="126">
        <f t="shared" si="1"/>
        <v>0</v>
      </c>
      <c r="K14" s="126">
        <f t="shared" si="1"/>
        <v>0</v>
      </c>
      <c r="L14" s="126">
        <f t="shared" si="1"/>
        <v>0</v>
      </c>
      <c r="M14" s="126">
        <f t="shared" si="1"/>
        <v>0</v>
      </c>
      <c r="N14" s="126">
        <f t="shared" si="1"/>
        <v>0</v>
      </c>
      <c r="O14" s="126">
        <f t="shared" si="1"/>
        <v>0</v>
      </c>
      <c r="P14" s="135">
        <f t="shared" si="1"/>
        <v>0</v>
      </c>
    </row>
    <row r="15" spans="1:16">
      <c r="A15" s="11" t="s">
        <v>65</v>
      </c>
      <c r="B15" s="27" t="s">
        <v>64</v>
      </c>
      <c r="C15" s="27"/>
      <c r="D15" s="27"/>
      <c r="E15" s="123">
        <f>('p&amp;l base'!$AD$3-65)/12*(-1)</f>
        <v>-7.5</v>
      </c>
      <c r="F15" s="123">
        <f>('p&amp;l base'!$AD$3-65)/12*(-1)</f>
        <v>-7.5</v>
      </c>
      <c r="G15" s="123">
        <f>('p&amp;l base'!$AD$3-65+'p&amp;l base'!$AD$14)/12*(-1)</f>
        <v>-15</v>
      </c>
      <c r="H15" s="123">
        <f>('p&amp;l base'!$AD$3-65+'p&amp;l base'!$AD$14)/12*(-1)</f>
        <v>-15</v>
      </c>
      <c r="I15" s="123">
        <f>('p&amp;l base'!$AD$3-65+'p&amp;l base'!$AD$14)/12*(-1)</f>
        <v>-15</v>
      </c>
      <c r="J15" s="123">
        <f>('p&amp;l base'!$AD$3-65+'p&amp;l base'!$AD$14)/12*(-1)</f>
        <v>-15</v>
      </c>
      <c r="K15" s="123">
        <f>('p&amp;l base'!$AD$3-65+'p&amp;l base'!$AD$14)/12*(-1)</f>
        <v>-15</v>
      </c>
      <c r="L15" s="123">
        <f>('p&amp;l base'!$AD$3-65+'p&amp;l base'!$AD$14)/12*(-1)</f>
        <v>-15</v>
      </c>
      <c r="M15" s="123">
        <f>('p&amp;l base'!$AD$3-65+'p&amp;l base'!$AD$14)/12*(-1)</f>
        <v>-15</v>
      </c>
      <c r="N15" s="123">
        <f>('p&amp;l base'!$AD$3-65+'p&amp;l base'!$AD$14)/12*(-1)</f>
        <v>-15</v>
      </c>
      <c r="O15" s="123">
        <f>('p&amp;l base'!$AD$3-65+'p&amp;l base'!$AD$14)/12*(-1)</f>
        <v>-15</v>
      </c>
      <c r="P15" s="132">
        <f>('p&amp;l base'!$AD$3-65+'p&amp;l base'!$AD$14)/12*(-1)</f>
        <v>-15</v>
      </c>
    </row>
    <row r="16" spans="1:16">
      <c r="A16" s="11" t="s">
        <v>66</v>
      </c>
      <c r="B16" s="27" t="s">
        <v>107</v>
      </c>
      <c r="C16" s="27"/>
      <c r="D16" s="27"/>
      <c r="E16" s="123"/>
      <c r="F16" s="123"/>
      <c r="G16" s="123"/>
      <c r="H16" s="123"/>
      <c r="I16" s="123"/>
      <c r="J16" s="123">
        <v>0</v>
      </c>
      <c r="K16" s="123"/>
      <c r="L16" s="123"/>
      <c r="M16" s="123"/>
      <c r="N16" s="123"/>
      <c r="O16" s="123"/>
      <c r="P16" s="132"/>
    </row>
    <row r="17" spans="1:16">
      <c r="A17" s="11" t="s">
        <v>67</v>
      </c>
      <c r="B17" s="27" t="s">
        <v>68</v>
      </c>
      <c r="C17" s="27"/>
      <c r="D17" s="27"/>
      <c r="E17" s="123"/>
      <c r="F17" s="123"/>
      <c r="G17" s="123"/>
      <c r="H17" s="123"/>
      <c r="I17" s="123"/>
      <c r="J17" s="123">
        <v>-16500</v>
      </c>
      <c r="K17" s="123"/>
      <c r="L17" s="123"/>
      <c r="M17" s="123"/>
      <c r="N17" s="123"/>
      <c r="O17" s="123"/>
      <c r="P17" s="132"/>
    </row>
    <row r="18" spans="1:16">
      <c r="A18" s="11" t="s">
        <v>53</v>
      </c>
      <c r="B18" s="27" t="s">
        <v>69</v>
      </c>
      <c r="C18" s="27"/>
      <c r="D18" s="27"/>
      <c r="E18" s="127">
        <v>-150</v>
      </c>
      <c r="F18" s="127"/>
      <c r="G18" s="123"/>
      <c r="H18" s="123"/>
      <c r="I18" s="123"/>
      <c r="J18" s="123"/>
      <c r="K18" s="123"/>
      <c r="L18" s="123"/>
      <c r="M18" s="123"/>
      <c r="N18" s="123"/>
      <c r="O18" s="123">
        <v>-350</v>
      </c>
      <c r="P18" s="132"/>
    </row>
    <row r="19" spans="1:16">
      <c r="A19" s="66" t="s">
        <v>70</v>
      </c>
      <c r="B19" s="64" t="s">
        <v>71</v>
      </c>
      <c r="C19" s="32"/>
      <c r="D19" s="32"/>
      <c r="E19" s="126">
        <f>SUM(E14:E18)</f>
        <v>-157.5</v>
      </c>
      <c r="F19" s="126">
        <f t="shared" ref="F19:P19" si="2">SUM(F14:F18)</f>
        <v>-5507.5</v>
      </c>
      <c r="G19" s="126">
        <f t="shared" si="2"/>
        <v>-15</v>
      </c>
      <c r="H19" s="126">
        <f t="shared" si="2"/>
        <v>-15</v>
      </c>
      <c r="I19" s="126">
        <f t="shared" si="2"/>
        <v>-15</v>
      </c>
      <c r="J19" s="126">
        <f t="shared" si="2"/>
        <v>-16515</v>
      </c>
      <c r="K19" s="126">
        <f t="shared" si="2"/>
        <v>-15</v>
      </c>
      <c r="L19" s="126">
        <f t="shared" si="2"/>
        <v>-15</v>
      </c>
      <c r="M19" s="126">
        <f t="shared" si="2"/>
        <v>-15</v>
      </c>
      <c r="N19" s="126">
        <f t="shared" si="2"/>
        <v>-15</v>
      </c>
      <c r="O19" s="126">
        <f t="shared" si="2"/>
        <v>-365</v>
      </c>
      <c r="P19" s="135">
        <f t="shared" si="2"/>
        <v>-15</v>
      </c>
    </row>
    <row r="20" spans="1:16">
      <c r="A20" s="11" t="s">
        <v>72</v>
      </c>
      <c r="B20" s="27" t="s">
        <v>73</v>
      </c>
      <c r="C20" s="27"/>
      <c r="D20" s="27"/>
      <c r="E20" s="127"/>
      <c r="F20" s="127"/>
      <c r="G20" s="123"/>
      <c r="H20" s="123"/>
      <c r="I20" s="123"/>
      <c r="J20" s="123"/>
      <c r="K20" s="123"/>
      <c r="L20" s="123"/>
      <c r="M20" s="123"/>
      <c r="N20" s="123"/>
      <c r="O20" s="123"/>
      <c r="P20" s="132"/>
    </row>
    <row r="21" spans="1:16">
      <c r="A21" s="11" t="s">
        <v>74</v>
      </c>
      <c r="B21" s="27" t="s">
        <v>25</v>
      </c>
      <c r="C21" s="27"/>
      <c r="D21" s="27"/>
      <c r="E21" s="127"/>
      <c r="F21" s="127"/>
      <c r="G21" s="123"/>
      <c r="H21" s="123"/>
      <c r="I21" s="123"/>
      <c r="J21" s="123"/>
      <c r="K21" s="123"/>
      <c r="L21" s="123"/>
      <c r="M21" s="123"/>
      <c r="N21" s="123"/>
      <c r="O21" s="123"/>
      <c r="P21" s="132"/>
    </row>
    <row r="22" spans="1:16">
      <c r="A22" s="11" t="s">
        <v>76</v>
      </c>
      <c r="B22" s="27" t="s">
        <v>77</v>
      </c>
      <c r="C22" s="27"/>
      <c r="D22" s="27"/>
      <c r="E22" s="127"/>
      <c r="F22" s="127"/>
      <c r="G22" s="123"/>
      <c r="H22" s="123"/>
      <c r="I22" s="123"/>
      <c r="J22" s="123"/>
      <c r="K22" s="123"/>
      <c r="L22" s="123"/>
      <c r="M22" s="123"/>
      <c r="N22" s="123"/>
      <c r="O22" s="123"/>
      <c r="P22" s="132"/>
    </row>
    <row r="23" spans="1:16">
      <c r="A23" s="66" t="s">
        <v>78</v>
      </c>
      <c r="B23" s="64" t="s">
        <v>79</v>
      </c>
      <c r="C23" s="32"/>
      <c r="D23" s="32"/>
      <c r="E23" s="126">
        <f>SUM(E19:E22)</f>
        <v>-157.5</v>
      </c>
      <c r="F23" s="126">
        <f t="shared" ref="F23:P23" si="3">SUM(F19:F22)</f>
        <v>-5507.5</v>
      </c>
      <c r="G23" s="126">
        <f t="shared" si="3"/>
        <v>-15</v>
      </c>
      <c r="H23" s="126">
        <f t="shared" si="3"/>
        <v>-15</v>
      </c>
      <c r="I23" s="126">
        <f t="shared" si="3"/>
        <v>-15</v>
      </c>
      <c r="J23" s="126">
        <f t="shared" si="3"/>
        <v>-16515</v>
      </c>
      <c r="K23" s="126">
        <f t="shared" si="3"/>
        <v>-15</v>
      </c>
      <c r="L23" s="126">
        <f t="shared" si="3"/>
        <v>-15</v>
      </c>
      <c r="M23" s="126">
        <f t="shared" si="3"/>
        <v>-15</v>
      </c>
      <c r="N23" s="126">
        <f t="shared" si="3"/>
        <v>-15</v>
      </c>
      <c r="O23" s="126">
        <f t="shared" si="3"/>
        <v>-365</v>
      </c>
      <c r="P23" s="135">
        <f t="shared" si="3"/>
        <v>-15</v>
      </c>
    </row>
    <row r="24" spans="1:16">
      <c r="A24" s="11" t="s">
        <v>80</v>
      </c>
      <c r="B24" s="27" t="s">
        <v>81</v>
      </c>
      <c r="C24" s="27"/>
      <c r="D24" s="27"/>
      <c r="E24" s="127"/>
      <c r="F24" s="127"/>
      <c r="G24" s="123"/>
      <c r="H24" s="123"/>
      <c r="I24" s="123"/>
      <c r="J24" s="123"/>
      <c r="K24" s="123"/>
      <c r="L24" s="123"/>
      <c r="M24" s="123"/>
      <c r="N24" s="123"/>
      <c r="O24" s="123"/>
      <c r="P24" s="132"/>
    </row>
    <row r="25" spans="1:16">
      <c r="A25" s="66" t="s">
        <v>82</v>
      </c>
      <c r="B25" s="64" t="s">
        <v>83</v>
      </c>
      <c r="C25" s="32"/>
      <c r="D25" s="32"/>
      <c r="E25" s="126">
        <f>SUM(E23:E24)</f>
        <v>-157.5</v>
      </c>
      <c r="F25" s="126">
        <f t="shared" ref="F25:P25" si="4">SUM(F23:F24)</f>
        <v>-5507.5</v>
      </c>
      <c r="G25" s="126">
        <f t="shared" si="4"/>
        <v>-15</v>
      </c>
      <c r="H25" s="126">
        <f t="shared" si="4"/>
        <v>-15</v>
      </c>
      <c r="I25" s="126">
        <f t="shared" si="4"/>
        <v>-15</v>
      </c>
      <c r="J25" s="126">
        <f t="shared" si="4"/>
        <v>-16515</v>
      </c>
      <c r="K25" s="126">
        <f t="shared" si="4"/>
        <v>-15</v>
      </c>
      <c r="L25" s="126">
        <f t="shared" si="4"/>
        <v>-15</v>
      </c>
      <c r="M25" s="126">
        <f t="shared" si="4"/>
        <v>-15</v>
      </c>
      <c r="N25" s="126">
        <f t="shared" si="4"/>
        <v>-15</v>
      </c>
      <c r="O25" s="126">
        <f t="shared" si="4"/>
        <v>-365</v>
      </c>
      <c r="P25" s="135">
        <f t="shared" si="4"/>
        <v>-15</v>
      </c>
    </row>
    <row r="26" spans="1:16">
      <c r="A26" s="11" t="s">
        <v>84</v>
      </c>
      <c r="B26" s="82" t="s">
        <v>85</v>
      </c>
      <c r="C26" s="27"/>
      <c r="D26" s="27"/>
      <c r="E26" s="127"/>
      <c r="F26" s="127"/>
      <c r="G26" s="123"/>
      <c r="H26" s="123"/>
      <c r="I26" s="123"/>
      <c r="J26" s="123"/>
      <c r="K26" s="123"/>
      <c r="L26" s="123"/>
      <c r="M26" s="123"/>
      <c r="N26" s="123"/>
      <c r="O26" s="123"/>
      <c r="P26" s="132"/>
    </row>
    <row r="27" spans="1:16" ht="17" thickBot="1">
      <c r="A27" s="86" t="s">
        <v>86</v>
      </c>
      <c r="B27" s="87" t="s">
        <v>87</v>
      </c>
      <c r="C27" s="103"/>
      <c r="D27" s="103"/>
      <c r="E27" s="136">
        <f>SUM(E25:E26)</f>
        <v>-157.5</v>
      </c>
      <c r="F27" s="136">
        <f t="shared" ref="F27:P27" si="5">SUM(F25:F26)</f>
        <v>-5507.5</v>
      </c>
      <c r="G27" s="136">
        <f t="shared" si="5"/>
        <v>-15</v>
      </c>
      <c r="H27" s="136">
        <f t="shared" si="5"/>
        <v>-15</v>
      </c>
      <c r="I27" s="136">
        <f t="shared" si="5"/>
        <v>-15</v>
      </c>
      <c r="J27" s="136">
        <f t="shared" si="5"/>
        <v>-16515</v>
      </c>
      <c r="K27" s="136">
        <f t="shared" si="5"/>
        <v>-15</v>
      </c>
      <c r="L27" s="136">
        <f t="shared" si="5"/>
        <v>-15</v>
      </c>
      <c r="M27" s="136">
        <f t="shared" si="5"/>
        <v>-15</v>
      </c>
      <c r="N27" s="136">
        <f t="shared" si="5"/>
        <v>-15</v>
      </c>
      <c r="O27" s="136">
        <f t="shared" si="5"/>
        <v>-365</v>
      </c>
      <c r="P27" s="137">
        <f t="shared" si="5"/>
        <v>-15</v>
      </c>
    </row>
    <row r="28" spans="1:16">
      <c r="A28" s="159" t="s">
        <v>115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1"/>
    </row>
    <row r="29" spans="1:16">
      <c r="A29" s="11"/>
      <c r="B29" s="117" t="s">
        <v>109</v>
      </c>
      <c r="C29" s="27"/>
      <c r="D29" s="27"/>
      <c r="E29" s="129" t="s">
        <v>120</v>
      </c>
      <c r="F29" s="129" t="s">
        <v>131</v>
      </c>
      <c r="G29" s="129" t="s">
        <v>132</v>
      </c>
      <c r="H29" s="129" t="s">
        <v>135</v>
      </c>
      <c r="I29" s="129" t="s">
        <v>136</v>
      </c>
      <c r="J29" s="129" t="s">
        <v>137</v>
      </c>
      <c r="K29" s="129" t="s">
        <v>138</v>
      </c>
      <c r="L29" s="129" t="s">
        <v>139</v>
      </c>
      <c r="M29" s="129" t="s">
        <v>140</v>
      </c>
      <c r="N29" s="129" t="s">
        <v>141</v>
      </c>
      <c r="O29" s="129" t="s">
        <v>143</v>
      </c>
      <c r="P29" s="130" t="s">
        <v>142</v>
      </c>
    </row>
    <row r="30" spans="1:16">
      <c r="A30" s="18" t="s">
        <v>42</v>
      </c>
      <c r="B30" s="64" t="s">
        <v>114</v>
      </c>
      <c r="C30" s="32"/>
      <c r="D30" s="3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31">
        <f>'p&amp;l base'!$K$6/12</f>
        <v>2062.5</v>
      </c>
    </row>
    <row r="31" spans="1:16">
      <c r="A31" s="11" t="s">
        <v>43</v>
      </c>
      <c r="B31" s="27" t="s">
        <v>110</v>
      </c>
      <c r="C31" s="27"/>
      <c r="D31" s="27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38">
        <f>'p&amp;l base'!$K$7/12</f>
        <v>105.60000000000001</v>
      </c>
    </row>
    <row r="32" spans="1:16">
      <c r="A32" s="11" t="s">
        <v>44</v>
      </c>
      <c r="B32" s="27" t="s">
        <v>144</v>
      </c>
      <c r="C32" s="27"/>
      <c r="D32" s="27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32"/>
    </row>
    <row r="33" spans="1:16">
      <c r="A33" s="11" t="s">
        <v>47</v>
      </c>
      <c r="B33" s="27" t="s">
        <v>50</v>
      </c>
      <c r="C33" s="27"/>
      <c r="D33" s="27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32">
        <f>'p&amp;l base'!$K$9/12</f>
        <v>8.25</v>
      </c>
    </row>
    <row r="34" spans="1:16">
      <c r="A34" s="66" t="s">
        <v>48</v>
      </c>
      <c r="B34" s="64" t="s">
        <v>51</v>
      </c>
      <c r="C34" s="32"/>
      <c r="D34" s="32"/>
      <c r="E34" s="122">
        <f>SUM(E30:E33)</f>
        <v>0</v>
      </c>
      <c r="F34" s="122">
        <f t="shared" ref="F34:P34" si="6">SUM(F30:F33)</f>
        <v>0</v>
      </c>
      <c r="G34" s="122">
        <f t="shared" si="6"/>
        <v>0</v>
      </c>
      <c r="H34" s="122">
        <f t="shared" si="6"/>
        <v>0</v>
      </c>
      <c r="I34" s="122">
        <f t="shared" si="6"/>
        <v>0</v>
      </c>
      <c r="J34" s="122">
        <f t="shared" si="6"/>
        <v>0</v>
      </c>
      <c r="K34" s="122">
        <f t="shared" si="6"/>
        <v>0</v>
      </c>
      <c r="L34" s="122">
        <f t="shared" si="6"/>
        <v>0</v>
      </c>
      <c r="M34" s="122">
        <f t="shared" si="6"/>
        <v>0</v>
      </c>
      <c r="N34" s="122">
        <f t="shared" si="6"/>
        <v>0</v>
      </c>
      <c r="O34" s="122">
        <f t="shared" si="6"/>
        <v>0</v>
      </c>
      <c r="P34" s="131">
        <f t="shared" si="6"/>
        <v>2176.35</v>
      </c>
    </row>
    <row r="35" spans="1:16">
      <c r="A35" s="11" t="s">
        <v>49</v>
      </c>
      <c r="B35" s="27" t="s">
        <v>52</v>
      </c>
      <c r="C35" s="27"/>
      <c r="D35" s="27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33"/>
    </row>
    <row r="36" spans="1:16" ht="19">
      <c r="A36" s="11" t="s">
        <v>53</v>
      </c>
      <c r="B36" s="27" t="s">
        <v>89</v>
      </c>
      <c r="C36" s="27"/>
      <c r="D36" s="27"/>
      <c r="E36" s="123"/>
      <c r="F36" s="127"/>
      <c r="G36" s="123"/>
      <c r="H36" s="123"/>
      <c r="I36" s="123"/>
      <c r="J36" s="123"/>
      <c r="K36" s="123"/>
      <c r="L36" s="123"/>
      <c r="M36" s="123"/>
      <c r="N36" s="123">
        <f>'p&amp;l base'!$K$12/12</f>
        <v>-825</v>
      </c>
      <c r="O36" s="123">
        <f>'p&amp;l base'!$K$12/12</f>
        <v>-825</v>
      </c>
      <c r="P36" s="132">
        <f>'p&amp;l base'!$K$12/12</f>
        <v>-825</v>
      </c>
    </row>
    <row r="37" spans="1:16">
      <c r="A37" s="11" t="s">
        <v>54</v>
      </c>
      <c r="B37" s="27" t="s">
        <v>58</v>
      </c>
      <c r="C37" s="27"/>
      <c r="D37" s="27"/>
      <c r="E37" s="123"/>
      <c r="F37" s="127"/>
      <c r="G37" s="123"/>
      <c r="H37" s="123"/>
      <c r="I37" s="123"/>
      <c r="J37" s="123"/>
      <c r="K37" s="123"/>
      <c r="L37" s="123"/>
      <c r="M37" s="123"/>
      <c r="N37" s="123">
        <f>'p&amp;l base'!$K$13/12</f>
        <v>-82.5</v>
      </c>
      <c r="O37" s="123">
        <f>'p&amp;l base'!$K$13/12</f>
        <v>-82.5</v>
      </c>
      <c r="P37" s="132">
        <f>'p&amp;l base'!$K$13/12</f>
        <v>-82.5</v>
      </c>
    </row>
    <row r="38" spans="1:16">
      <c r="A38" s="11" t="s">
        <v>55</v>
      </c>
      <c r="B38" s="27" t="s">
        <v>101</v>
      </c>
      <c r="C38" s="27"/>
      <c r="D38" s="27"/>
      <c r="E38" s="123"/>
      <c r="F38" s="127"/>
      <c r="G38" s="123"/>
      <c r="H38" s="123"/>
      <c r="I38" s="123"/>
      <c r="J38" s="123"/>
      <c r="K38" s="123"/>
      <c r="L38" s="123"/>
      <c r="M38" s="123"/>
      <c r="N38" s="123">
        <f>'p&amp;l base'!$K$14/12</f>
        <v>-60.616500000000009</v>
      </c>
      <c r="O38" s="123">
        <f>'p&amp;l base'!$K$14/12</f>
        <v>-60.616500000000009</v>
      </c>
      <c r="P38" s="132">
        <f>'p&amp;l base'!$K$14/12</f>
        <v>-60.616500000000009</v>
      </c>
    </row>
    <row r="39" spans="1:16">
      <c r="A39" s="11" t="s">
        <v>56</v>
      </c>
      <c r="B39" s="27" t="s">
        <v>60</v>
      </c>
      <c r="C39" s="27"/>
      <c r="D39" s="27"/>
      <c r="E39" s="123"/>
      <c r="F39" s="127"/>
      <c r="G39" s="123"/>
      <c r="H39" s="123"/>
      <c r="I39" s="123"/>
      <c r="J39" s="123"/>
      <c r="K39" s="123"/>
      <c r="L39" s="123"/>
      <c r="M39" s="123">
        <v>-5500</v>
      </c>
      <c r="N39" s="123">
        <f>'p&amp;l base'!$K$15/12</f>
        <v>-43.527000000000008</v>
      </c>
      <c r="O39" s="123">
        <f>'p&amp;l base'!$K$15/12</f>
        <v>-43.527000000000008</v>
      </c>
      <c r="P39" s="132">
        <f>'p&amp;l base'!$K$15/12</f>
        <v>-43.527000000000008</v>
      </c>
    </row>
    <row r="40" spans="1:16">
      <c r="A40" s="11" t="s">
        <v>105</v>
      </c>
      <c r="B40" s="27" t="s">
        <v>106</v>
      </c>
      <c r="C40" s="27"/>
      <c r="D40" s="27"/>
      <c r="E40" s="123"/>
      <c r="F40" s="127"/>
      <c r="G40" s="123"/>
      <c r="H40" s="123"/>
      <c r="I40" s="123"/>
      <c r="J40" s="123"/>
      <c r="K40" s="123"/>
      <c r="L40" s="123"/>
      <c r="M40" s="123"/>
      <c r="N40" s="123">
        <f>(('p&amp;l base'!$AD$18*'p&amp;l base'!$AD$21)+('p&amp;l base'!$AD$23*'p&amp;l base'!$AD$26))/12*(-1)</f>
        <v>-58</v>
      </c>
      <c r="O40" s="123">
        <f>(('p&amp;l base'!$AD$18*'p&amp;l base'!$AD$21)+('p&amp;l base'!$AD$23*'p&amp;l base'!$AD$26))/12*(-1)</f>
        <v>-58</v>
      </c>
      <c r="P40" s="132">
        <f>(('p&amp;l base'!$AD$18*'p&amp;l base'!$AD$21)+('p&amp;l base'!$AD$23*'p&amp;l base'!$AD$26))/12*(-1)</f>
        <v>-58</v>
      </c>
    </row>
    <row r="41" spans="1:16">
      <c r="A41" s="66" t="s">
        <v>62</v>
      </c>
      <c r="B41" s="64" t="s">
        <v>63</v>
      </c>
      <c r="C41" s="32"/>
      <c r="D41" s="32"/>
      <c r="E41" s="126">
        <f>SUM(E34:E40)</f>
        <v>0</v>
      </c>
      <c r="F41" s="126">
        <f t="shared" ref="F41:P41" si="7">SUM(F34:F40)</f>
        <v>0</v>
      </c>
      <c r="G41" s="126">
        <f t="shared" si="7"/>
        <v>0</v>
      </c>
      <c r="H41" s="126">
        <f t="shared" si="7"/>
        <v>0</v>
      </c>
      <c r="I41" s="126">
        <f t="shared" si="7"/>
        <v>0</v>
      </c>
      <c r="J41" s="126">
        <f t="shared" si="7"/>
        <v>0</v>
      </c>
      <c r="K41" s="126">
        <f t="shared" si="7"/>
        <v>0</v>
      </c>
      <c r="L41" s="126">
        <f t="shared" si="7"/>
        <v>0</v>
      </c>
      <c r="M41" s="126">
        <f t="shared" si="7"/>
        <v>-5500</v>
      </c>
      <c r="N41" s="126">
        <f t="shared" si="7"/>
        <v>-1069.6435000000001</v>
      </c>
      <c r="O41" s="126">
        <f t="shared" si="7"/>
        <v>-1069.6435000000001</v>
      </c>
      <c r="P41" s="135">
        <f t="shared" si="7"/>
        <v>1106.7064999999998</v>
      </c>
    </row>
    <row r="42" spans="1:16">
      <c r="A42" s="11" t="s">
        <v>65</v>
      </c>
      <c r="B42" s="27" t="s">
        <v>64</v>
      </c>
      <c r="C42" s="27"/>
      <c r="D42" s="27"/>
      <c r="E42" s="123">
        <f>('p&amp;l base'!$AD$3-65+'p&amp;l base'!$AD$14)/12*(-1)</f>
        <v>-15</v>
      </c>
      <c r="F42" s="123">
        <f>('p&amp;l base'!$AD$3-65+'p&amp;l base'!$AD$14)/12*(-1)</f>
        <v>-15</v>
      </c>
      <c r="G42" s="123">
        <f>('p&amp;l base'!$AD$3-65+'p&amp;l base'!$AD$14)/12*(-1)</f>
        <v>-15</v>
      </c>
      <c r="H42" s="123">
        <f>('p&amp;l base'!$AD$3-65+'p&amp;l base'!$AD$14)/12*(-1)</f>
        <v>-15</v>
      </c>
      <c r="I42" s="123">
        <f>('p&amp;l base'!$AD$3-65+'p&amp;l base'!$AD$14)/12*(-1)</f>
        <v>-15</v>
      </c>
      <c r="J42" s="123">
        <f>('p&amp;l base'!$AD$3-65+'p&amp;l base'!$AD$14)/12*(-1)</f>
        <v>-15</v>
      </c>
      <c r="K42" s="123">
        <f>('p&amp;l base'!$AD$3-65+('p&amp;l base'!$AD$14*2))/12*(-1)</f>
        <v>-22.5</v>
      </c>
      <c r="L42" s="123">
        <f>('p&amp;l base'!$AD$3-65+('p&amp;l base'!$AD$14*2))/12*(-1)</f>
        <v>-22.5</v>
      </c>
      <c r="M42" s="123">
        <f>('p&amp;l base'!$AD$3-65+('p&amp;l base'!$AD$14*2))/12*(-1)</f>
        <v>-22.5</v>
      </c>
      <c r="N42" s="123">
        <f>(('p&amp;l base'!$AD$3-65)+('p&amp;l base'!$AD$14*2)+('p&amp;l base'!$AD$7*'p&amp;l base'!$AD$8)+('p&amp;l base'!$AD$10*'p&amp;l base'!$AD$11))/12*(-1)</f>
        <v>-59.833333333333336</v>
      </c>
      <c r="O42" s="123">
        <f>(('p&amp;l base'!$AD$3-65)+('p&amp;l base'!$AD$14*2)+('p&amp;l base'!$AD$7*'p&amp;l base'!$AD$8)+('p&amp;l base'!$AD$10*'p&amp;l base'!$AD$11))/12*(-1)</f>
        <v>-59.833333333333336</v>
      </c>
      <c r="P42" s="132">
        <f>(('p&amp;l base'!$AD$3-65)+('p&amp;l base'!$AD$14*2)+('p&amp;l base'!$AD$7*'p&amp;l base'!$AD$8)+('p&amp;l base'!$AD$10*'p&amp;l base'!$AD$11))/12*(-1)</f>
        <v>-59.833333333333336</v>
      </c>
    </row>
    <row r="43" spans="1:16">
      <c r="A43" s="11" t="s">
        <v>66</v>
      </c>
      <c r="B43" s="27" t="s">
        <v>107</v>
      </c>
      <c r="C43" s="27"/>
      <c r="D43" s="27"/>
      <c r="E43" s="123"/>
      <c r="F43" s="127"/>
      <c r="G43" s="123"/>
      <c r="H43" s="123"/>
      <c r="I43" s="123"/>
      <c r="J43" s="123"/>
      <c r="K43" s="123"/>
      <c r="L43" s="123"/>
      <c r="M43" s="123"/>
      <c r="N43" s="123">
        <f>'p&amp;l base'!$K$19/12</f>
        <v>-165.14041514041514</v>
      </c>
      <c r="O43" s="123">
        <f>'p&amp;l base'!$K$19/12</f>
        <v>-165.14041514041514</v>
      </c>
      <c r="P43" s="132">
        <f>'p&amp;l base'!$K$19/12</f>
        <v>-165.14041514041514</v>
      </c>
    </row>
    <row r="44" spans="1:16">
      <c r="A44" s="11" t="s">
        <v>67</v>
      </c>
      <c r="B44" s="27" t="s">
        <v>68</v>
      </c>
      <c r="C44" s="27"/>
      <c r="D44" s="27"/>
      <c r="E44" s="127"/>
      <c r="F44" s="127"/>
      <c r="G44" s="123"/>
      <c r="H44" s="123"/>
      <c r="I44" s="123"/>
      <c r="J44" s="123"/>
      <c r="K44" s="123"/>
      <c r="L44" s="123"/>
      <c r="M44" s="123"/>
      <c r="N44" s="123">
        <f>'p&amp;l base'!$K$20/12</f>
        <v>-87.054000000000016</v>
      </c>
      <c r="O44" s="123">
        <f>'p&amp;l base'!$K$20/12</f>
        <v>-87.054000000000016</v>
      </c>
      <c r="P44" s="132">
        <f>'p&amp;l base'!$K$20/12</f>
        <v>-87.054000000000016</v>
      </c>
    </row>
    <row r="45" spans="1:16">
      <c r="A45" s="11" t="s">
        <v>53</v>
      </c>
      <c r="B45" s="27" t="s">
        <v>69</v>
      </c>
      <c r="C45" s="27"/>
      <c r="D45" s="27"/>
      <c r="E45" s="127"/>
      <c r="F45" s="127"/>
      <c r="G45" s="123"/>
      <c r="H45" s="123"/>
      <c r="I45" s="123"/>
      <c r="J45" s="123"/>
      <c r="K45" s="123"/>
      <c r="L45" s="123"/>
      <c r="M45" s="123"/>
      <c r="N45" s="123">
        <f>'p&amp;l base'!$K$21/12</f>
        <v>-87.054000000000016</v>
      </c>
      <c r="O45" s="123">
        <f>'p&amp;l base'!$K$21/12</f>
        <v>-87.054000000000016</v>
      </c>
      <c r="P45" s="132">
        <f>'p&amp;l base'!$K$21/12</f>
        <v>-87.054000000000016</v>
      </c>
    </row>
    <row r="46" spans="1:16">
      <c r="A46" s="66" t="s">
        <v>70</v>
      </c>
      <c r="B46" s="64" t="s">
        <v>71</v>
      </c>
      <c r="C46" s="32"/>
      <c r="D46" s="32"/>
      <c r="E46" s="126">
        <f>SUM(E41:E45)</f>
        <v>-15</v>
      </c>
      <c r="F46" s="126">
        <f t="shared" ref="F46:P46" si="8">SUM(F41:F45)</f>
        <v>-15</v>
      </c>
      <c r="G46" s="126">
        <f t="shared" si="8"/>
        <v>-15</v>
      </c>
      <c r="H46" s="126">
        <f t="shared" si="8"/>
        <v>-15</v>
      </c>
      <c r="I46" s="126">
        <f t="shared" si="8"/>
        <v>-15</v>
      </c>
      <c r="J46" s="126">
        <f t="shared" si="8"/>
        <v>-15</v>
      </c>
      <c r="K46" s="126">
        <f t="shared" si="8"/>
        <v>-22.5</v>
      </c>
      <c r="L46" s="126">
        <f t="shared" si="8"/>
        <v>-22.5</v>
      </c>
      <c r="M46" s="126">
        <f t="shared" si="8"/>
        <v>-5522.5</v>
      </c>
      <c r="N46" s="126">
        <f t="shared" si="8"/>
        <v>-1468.7252484737487</v>
      </c>
      <c r="O46" s="126">
        <f t="shared" si="8"/>
        <v>-1468.7252484737487</v>
      </c>
      <c r="P46" s="135">
        <f t="shared" si="8"/>
        <v>707.62475152625143</v>
      </c>
    </row>
    <row r="47" spans="1:16">
      <c r="A47" s="11" t="s">
        <v>72</v>
      </c>
      <c r="B47" s="27" t="s">
        <v>73</v>
      </c>
      <c r="C47" s="27"/>
      <c r="D47" s="27"/>
      <c r="E47" s="127"/>
      <c r="F47" s="127"/>
      <c r="G47" s="123"/>
      <c r="H47" s="123"/>
      <c r="I47" s="123"/>
      <c r="J47" s="123"/>
      <c r="K47" s="123"/>
      <c r="L47" s="123"/>
      <c r="M47" s="123"/>
      <c r="N47" s="123"/>
      <c r="O47" s="123"/>
      <c r="P47" s="132"/>
    </row>
    <row r="48" spans="1:16">
      <c r="A48" s="11" t="s">
        <v>74</v>
      </c>
      <c r="B48" s="27" t="s">
        <v>25</v>
      </c>
      <c r="C48" s="27"/>
      <c r="D48" s="27"/>
      <c r="E48" s="127"/>
      <c r="F48" s="127"/>
      <c r="G48" s="123"/>
      <c r="H48" s="123"/>
      <c r="I48" s="123"/>
      <c r="J48" s="123"/>
      <c r="K48" s="123"/>
      <c r="L48" s="123"/>
      <c r="M48" s="123"/>
      <c r="N48" s="123">
        <f>'p&amp;l base'!$K$24/12</f>
        <v>-186.67341095666666</v>
      </c>
      <c r="O48" s="123">
        <f>'p&amp;l base'!$K$24/12</f>
        <v>-186.67341095666666</v>
      </c>
      <c r="P48" s="132">
        <f>'p&amp;l base'!$K$24/12</f>
        <v>-186.67341095666666</v>
      </c>
    </row>
    <row r="49" spans="1:16">
      <c r="A49" s="11" t="s">
        <v>76</v>
      </c>
      <c r="B49" s="27" t="s">
        <v>77</v>
      </c>
      <c r="C49" s="27"/>
      <c r="D49" s="27"/>
      <c r="E49" s="127"/>
      <c r="F49" s="127"/>
      <c r="G49" s="123"/>
      <c r="H49" s="123"/>
      <c r="I49" s="123"/>
      <c r="J49" s="123"/>
      <c r="K49" s="123"/>
      <c r="L49" s="123"/>
      <c r="M49" s="123"/>
      <c r="N49" s="123"/>
      <c r="O49" s="123"/>
      <c r="P49" s="132"/>
    </row>
    <row r="50" spans="1:16">
      <c r="A50" s="66" t="s">
        <v>78</v>
      </c>
      <c r="B50" s="64" t="s">
        <v>79</v>
      </c>
      <c r="C50" s="32"/>
      <c r="D50" s="32"/>
      <c r="E50" s="126">
        <f>SUM(E46:E49)</f>
        <v>-15</v>
      </c>
      <c r="F50" s="126">
        <f t="shared" ref="F50:P50" si="9">SUM(F46:F49)</f>
        <v>-15</v>
      </c>
      <c r="G50" s="126">
        <f t="shared" si="9"/>
        <v>-15</v>
      </c>
      <c r="H50" s="126">
        <f t="shared" si="9"/>
        <v>-15</v>
      </c>
      <c r="I50" s="126">
        <f t="shared" si="9"/>
        <v>-15</v>
      </c>
      <c r="J50" s="126">
        <f t="shared" si="9"/>
        <v>-15</v>
      </c>
      <c r="K50" s="126">
        <f t="shared" si="9"/>
        <v>-22.5</v>
      </c>
      <c r="L50" s="126">
        <f t="shared" si="9"/>
        <v>-22.5</v>
      </c>
      <c r="M50" s="126">
        <f t="shared" si="9"/>
        <v>-5522.5</v>
      </c>
      <c r="N50" s="126">
        <f t="shared" si="9"/>
        <v>-1655.3986594304154</v>
      </c>
      <c r="O50" s="126">
        <f t="shared" si="9"/>
        <v>-1655.3986594304154</v>
      </c>
      <c r="P50" s="135">
        <f t="shared" si="9"/>
        <v>520.95134056958477</v>
      </c>
    </row>
    <row r="51" spans="1:16">
      <c r="A51" s="11" t="s">
        <v>80</v>
      </c>
      <c r="B51" s="27" t="s">
        <v>81</v>
      </c>
      <c r="C51" s="27"/>
      <c r="D51" s="27"/>
      <c r="E51" s="127"/>
      <c r="F51" s="127"/>
      <c r="G51" s="123"/>
      <c r="H51" s="123"/>
      <c r="I51" s="123"/>
      <c r="J51" s="123"/>
      <c r="K51" s="123"/>
      <c r="L51" s="123"/>
      <c r="M51" s="123"/>
      <c r="N51" s="127"/>
      <c r="O51" s="123"/>
      <c r="P51" s="132">
        <f>'p&amp;l base'!$E$27*'cash flow monthly'!P50*(-1)</f>
        <v>-145.86637535948375</v>
      </c>
    </row>
    <row r="52" spans="1:16">
      <c r="A52" s="66" t="s">
        <v>82</v>
      </c>
      <c r="B52" s="64" t="s">
        <v>83</v>
      </c>
      <c r="C52" s="32"/>
      <c r="D52" s="32"/>
      <c r="E52" s="126">
        <f>SUM(E50:E51)</f>
        <v>-15</v>
      </c>
      <c r="F52" s="126">
        <f t="shared" ref="F52:P52" si="10">SUM(F50:F51)</f>
        <v>-15</v>
      </c>
      <c r="G52" s="126">
        <f t="shared" si="10"/>
        <v>-15</v>
      </c>
      <c r="H52" s="126">
        <f t="shared" si="10"/>
        <v>-15</v>
      </c>
      <c r="I52" s="126">
        <f t="shared" si="10"/>
        <v>-15</v>
      </c>
      <c r="J52" s="126">
        <f t="shared" si="10"/>
        <v>-15</v>
      </c>
      <c r="K52" s="126">
        <f t="shared" si="10"/>
        <v>-22.5</v>
      </c>
      <c r="L52" s="126">
        <f t="shared" si="10"/>
        <v>-22.5</v>
      </c>
      <c r="M52" s="126">
        <f t="shared" si="10"/>
        <v>-5522.5</v>
      </c>
      <c r="N52" s="126">
        <f t="shared" si="10"/>
        <v>-1655.3986594304154</v>
      </c>
      <c r="O52" s="126">
        <f t="shared" si="10"/>
        <v>-1655.3986594304154</v>
      </c>
      <c r="P52" s="135">
        <f t="shared" si="10"/>
        <v>375.08496521010102</v>
      </c>
    </row>
    <row r="53" spans="1:16">
      <c r="A53" s="11" t="s">
        <v>84</v>
      </c>
      <c r="B53" s="82" t="s">
        <v>85</v>
      </c>
      <c r="C53" s="27"/>
      <c r="D53" s="27"/>
      <c r="E53" s="127"/>
      <c r="F53" s="127"/>
      <c r="G53" s="123"/>
      <c r="H53" s="123"/>
      <c r="I53" s="123"/>
      <c r="J53" s="123"/>
      <c r="K53" s="123"/>
      <c r="L53" s="123"/>
      <c r="M53" s="123"/>
      <c r="N53" s="127">
        <f t="shared" ref="N53:P53" si="11">N43*(-1)</f>
        <v>165.14041514041514</v>
      </c>
      <c r="O53" s="127">
        <f t="shared" si="11"/>
        <v>165.14041514041514</v>
      </c>
      <c r="P53" s="138">
        <f t="shared" si="11"/>
        <v>165.14041514041514</v>
      </c>
    </row>
    <row r="54" spans="1:16" ht="17" thickBot="1">
      <c r="A54" s="86" t="s">
        <v>86</v>
      </c>
      <c r="B54" s="87" t="s">
        <v>87</v>
      </c>
      <c r="C54" s="103"/>
      <c r="D54" s="103"/>
      <c r="E54" s="136">
        <f>SUM(E52:E53)</f>
        <v>-15</v>
      </c>
      <c r="F54" s="136">
        <f t="shared" ref="F54:P54" si="12">SUM(F52:F53)</f>
        <v>-15</v>
      </c>
      <c r="G54" s="136">
        <f t="shared" si="12"/>
        <v>-15</v>
      </c>
      <c r="H54" s="136">
        <f t="shared" si="12"/>
        <v>-15</v>
      </c>
      <c r="I54" s="136">
        <f t="shared" si="12"/>
        <v>-15</v>
      </c>
      <c r="J54" s="136">
        <f t="shared" si="12"/>
        <v>-15</v>
      </c>
      <c r="K54" s="136">
        <f t="shared" si="12"/>
        <v>-22.5</v>
      </c>
      <c r="L54" s="136">
        <f t="shared" si="12"/>
        <v>-22.5</v>
      </c>
      <c r="M54" s="136">
        <f t="shared" si="12"/>
        <v>-5522.5</v>
      </c>
      <c r="N54" s="136">
        <f t="shared" si="12"/>
        <v>-1490.2582442900002</v>
      </c>
      <c r="O54" s="136">
        <f t="shared" si="12"/>
        <v>-1490.2582442900002</v>
      </c>
      <c r="P54" s="137">
        <f t="shared" si="12"/>
        <v>540.22538035051616</v>
      </c>
    </row>
    <row r="55" spans="1:16">
      <c r="A55" s="159" t="s">
        <v>119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1"/>
    </row>
    <row r="56" spans="1:16">
      <c r="A56" s="11"/>
      <c r="B56" s="117" t="s">
        <v>109</v>
      </c>
      <c r="C56" s="27"/>
      <c r="D56" s="27"/>
      <c r="E56" s="139">
        <v>45658</v>
      </c>
      <c r="F56" s="139">
        <v>46054</v>
      </c>
      <c r="G56" s="139">
        <v>46447</v>
      </c>
      <c r="H56" s="139">
        <v>46844</v>
      </c>
      <c r="I56" s="139">
        <v>47239</v>
      </c>
      <c r="J56" s="139">
        <v>11110</v>
      </c>
      <c r="K56" s="139">
        <v>11505</v>
      </c>
      <c r="L56" s="139">
        <v>11902</v>
      </c>
      <c r="M56" s="139">
        <v>12298</v>
      </c>
      <c r="N56" s="139">
        <v>12693</v>
      </c>
      <c r="O56" s="139">
        <v>13089</v>
      </c>
      <c r="P56" s="140">
        <v>13485</v>
      </c>
    </row>
    <row r="57" spans="1:16">
      <c r="A57" s="18" t="s">
        <v>42</v>
      </c>
      <c r="B57" s="64" t="s">
        <v>114</v>
      </c>
      <c r="C57" s="32"/>
      <c r="D57" s="32"/>
      <c r="E57" s="122">
        <f>'p&amp;l base'!$K$6/12</f>
        <v>2062.5</v>
      </c>
      <c r="F57" s="122">
        <f>'p&amp;l base'!$K$6/12</f>
        <v>2062.5</v>
      </c>
      <c r="G57" s="122">
        <f>'p&amp;l base'!$N6/12</f>
        <v>4125</v>
      </c>
      <c r="H57" s="122">
        <f>'p&amp;l base'!$N6/12</f>
        <v>4125</v>
      </c>
      <c r="I57" s="122">
        <f>'p&amp;l base'!$Q$6/12</f>
        <v>6250</v>
      </c>
      <c r="J57" s="122">
        <f>'p&amp;l base'!$Q$6/12</f>
        <v>6250</v>
      </c>
      <c r="K57" s="122">
        <f>'p&amp;l base'!$Q$6/12</f>
        <v>6250</v>
      </c>
      <c r="L57" s="122">
        <f>'p&amp;l base'!$Q$6/12</f>
        <v>6250</v>
      </c>
      <c r="M57" s="122">
        <f>'p&amp;l base'!$Q$6/12</f>
        <v>6250</v>
      </c>
      <c r="N57" s="122">
        <f>'p&amp;l base'!$Q$6/12</f>
        <v>6250</v>
      </c>
      <c r="O57" s="122">
        <f>'p&amp;l base'!$Q$6/12</f>
        <v>6250</v>
      </c>
      <c r="P57" s="131">
        <f>'p&amp;l base'!$Q$6/12</f>
        <v>6250</v>
      </c>
    </row>
    <row r="58" spans="1:16">
      <c r="A58" s="11" t="s">
        <v>43</v>
      </c>
      <c r="B58" s="27" t="s">
        <v>110</v>
      </c>
      <c r="C58" s="27"/>
      <c r="D58" s="27"/>
      <c r="E58" s="127">
        <f>'p&amp;l base'!$K$7/12</f>
        <v>105.60000000000001</v>
      </c>
      <c r="F58" s="127">
        <f>'p&amp;l base'!$K$7/12</f>
        <v>105.60000000000001</v>
      </c>
      <c r="G58" s="125">
        <f>'p&amp;l base'!$N7/12</f>
        <v>211.20000000000002</v>
      </c>
      <c r="H58" s="125">
        <f>'p&amp;l base'!$N7/12</f>
        <v>211.20000000000002</v>
      </c>
      <c r="I58" s="125">
        <f>'p&amp;l base'!$Q$7/12</f>
        <v>320</v>
      </c>
      <c r="J58" s="125">
        <f>'p&amp;l base'!$Q$7/12</f>
        <v>320</v>
      </c>
      <c r="K58" s="125">
        <f>'p&amp;l base'!$Q$7/12</f>
        <v>320</v>
      </c>
      <c r="L58" s="125">
        <f>'p&amp;l base'!$Q$7/12</f>
        <v>320</v>
      </c>
      <c r="M58" s="125">
        <f>'p&amp;l base'!$Q$7/12</f>
        <v>320</v>
      </c>
      <c r="N58" s="125">
        <f>'p&amp;l base'!$Q$7/12</f>
        <v>320</v>
      </c>
      <c r="O58" s="125">
        <f>'p&amp;l base'!$Q$7/12</f>
        <v>320</v>
      </c>
      <c r="P58" s="134">
        <f>'p&amp;l base'!$Q$7/12</f>
        <v>320</v>
      </c>
    </row>
    <row r="59" spans="1:16">
      <c r="A59" s="11" t="s">
        <v>44</v>
      </c>
      <c r="B59" s="27" t="s">
        <v>144</v>
      </c>
      <c r="C59" s="27"/>
      <c r="D59" s="27"/>
      <c r="E59" s="123"/>
      <c r="F59" s="123"/>
      <c r="G59" s="125"/>
      <c r="H59" s="125"/>
      <c r="I59" s="125"/>
      <c r="J59" s="125"/>
      <c r="K59" s="125"/>
      <c r="L59" s="125"/>
      <c r="M59" s="125"/>
      <c r="N59" s="125"/>
      <c r="O59" s="125"/>
      <c r="P59" s="134"/>
    </row>
    <row r="60" spans="1:16">
      <c r="A60" s="11" t="s">
        <v>47</v>
      </c>
      <c r="B60" s="27" t="s">
        <v>50</v>
      </c>
      <c r="C60" s="27"/>
      <c r="D60" s="27"/>
      <c r="E60" s="123">
        <f>'p&amp;l base'!$K$9/12</f>
        <v>8.25</v>
      </c>
      <c r="F60" s="123">
        <f>'p&amp;l base'!$K$9/12</f>
        <v>8.25</v>
      </c>
      <c r="G60" s="125">
        <f>'p&amp;l base'!$N9/12</f>
        <v>16.5</v>
      </c>
      <c r="H60" s="125">
        <f>'p&amp;l base'!$N9/12</f>
        <v>16.5</v>
      </c>
      <c r="I60" s="125">
        <f>'p&amp;l base'!$Q$9/12</f>
        <v>25</v>
      </c>
      <c r="J60" s="125">
        <f>'p&amp;l base'!$Q$9/12</f>
        <v>25</v>
      </c>
      <c r="K60" s="125">
        <f>'p&amp;l base'!$Q$9/12</f>
        <v>25</v>
      </c>
      <c r="L60" s="125">
        <f>'p&amp;l base'!$Q$9/12</f>
        <v>25</v>
      </c>
      <c r="M60" s="125">
        <f>'p&amp;l base'!$Q$9/12</f>
        <v>25</v>
      </c>
      <c r="N60" s="125">
        <f>'p&amp;l base'!$Q$9/12</f>
        <v>25</v>
      </c>
      <c r="O60" s="125">
        <f>'p&amp;l base'!$Q$9/12</f>
        <v>25</v>
      </c>
      <c r="P60" s="134">
        <f>'p&amp;l base'!$Q$9/12</f>
        <v>25</v>
      </c>
    </row>
    <row r="61" spans="1:16">
      <c r="A61" s="66" t="s">
        <v>48</v>
      </c>
      <c r="B61" s="64" t="s">
        <v>51</v>
      </c>
      <c r="C61" s="32"/>
      <c r="D61" s="32"/>
      <c r="E61" s="122">
        <f>SUM(E57:E60)</f>
        <v>2176.35</v>
      </c>
      <c r="F61" s="122">
        <f t="shared" ref="F61:P61" si="13">SUM(F57:F60)</f>
        <v>2176.35</v>
      </c>
      <c r="G61" s="122">
        <f t="shared" si="13"/>
        <v>4352.7</v>
      </c>
      <c r="H61" s="122">
        <f t="shared" si="13"/>
        <v>4352.7</v>
      </c>
      <c r="I61" s="122">
        <f t="shared" si="13"/>
        <v>6595</v>
      </c>
      <c r="J61" s="122">
        <f t="shared" si="13"/>
        <v>6595</v>
      </c>
      <c r="K61" s="122">
        <f t="shared" si="13"/>
        <v>6595</v>
      </c>
      <c r="L61" s="122">
        <f t="shared" si="13"/>
        <v>6595</v>
      </c>
      <c r="M61" s="122">
        <f t="shared" si="13"/>
        <v>6595</v>
      </c>
      <c r="N61" s="122">
        <f t="shared" si="13"/>
        <v>6595</v>
      </c>
      <c r="O61" s="122">
        <f t="shared" si="13"/>
        <v>6595</v>
      </c>
      <c r="P61" s="131">
        <f t="shared" si="13"/>
        <v>6595</v>
      </c>
    </row>
    <row r="62" spans="1:16">
      <c r="A62" s="11" t="s">
        <v>49</v>
      </c>
      <c r="B62" s="27" t="s">
        <v>52</v>
      </c>
      <c r="C62" s="27"/>
      <c r="D62" s="27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33"/>
    </row>
    <row r="63" spans="1:16" ht="19">
      <c r="A63" s="11" t="s">
        <v>53</v>
      </c>
      <c r="B63" s="27" t="s">
        <v>89</v>
      </c>
      <c r="C63" s="27"/>
      <c r="D63" s="27"/>
      <c r="E63" s="123">
        <f>'p&amp;l base'!$N12/12</f>
        <v>-1650</v>
      </c>
      <c r="F63" s="127">
        <f>'p&amp;l base'!$Q$12/12</f>
        <v>-2500</v>
      </c>
      <c r="G63" s="127">
        <f>'p&amp;l base'!$Q$12/12</f>
        <v>-2500</v>
      </c>
      <c r="H63" s="127">
        <f>'p&amp;l base'!$Q$12/12</f>
        <v>-2500</v>
      </c>
      <c r="I63" s="127">
        <f>'p&amp;l base'!$Q$12/12</f>
        <v>-2500</v>
      </c>
      <c r="J63" s="127">
        <f>'p&amp;l base'!$Q$12/12</f>
        <v>-2500</v>
      </c>
      <c r="K63" s="127">
        <f>'p&amp;l base'!$Q$12/12</f>
        <v>-2500</v>
      </c>
      <c r="L63" s="127">
        <f>'p&amp;l base'!$Q$12/12</f>
        <v>-2500</v>
      </c>
      <c r="M63" s="127">
        <f>'p&amp;l base'!$Q$12/12</f>
        <v>-2500</v>
      </c>
      <c r="N63" s="127">
        <f>'p&amp;l base'!$Q$12/12</f>
        <v>-2500</v>
      </c>
      <c r="O63" s="127">
        <f>'p&amp;l base'!$Q$12/12</f>
        <v>-2500</v>
      </c>
      <c r="P63" s="138">
        <f>'p&amp;l base'!$Q$12/12</f>
        <v>-2500</v>
      </c>
    </row>
    <row r="64" spans="1:16">
      <c r="A64" s="11" t="s">
        <v>54</v>
      </c>
      <c r="B64" s="27" t="s">
        <v>58</v>
      </c>
      <c r="C64" s="27"/>
      <c r="D64" s="27"/>
      <c r="E64" s="123">
        <f>'p&amp;l base'!$N13/12</f>
        <v>-165</v>
      </c>
      <c r="F64" s="127">
        <f>'p&amp;l base'!$Q$13/12</f>
        <v>-250</v>
      </c>
      <c r="G64" s="127">
        <f>'p&amp;l base'!$Q$13/12</f>
        <v>-250</v>
      </c>
      <c r="H64" s="127">
        <f>'p&amp;l base'!$Q$13/12</f>
        <v>-250</v>
      </c>
      <c r="I64" s="127">
        <f>'p&amp;l base'!$Q$13/12</f>
        <v>-250</v>
      </c>
      <c r="J64" s="127">
        <f>'p&amp;l base'!$Q$13/12</f>
        <v>-250</v>
      </c>
      <c r="K64" s="127">
        <f>'p&amp;l base'!$Q$13/12</f>
        <v>-250</v>
      </c>
      <c r="L64" s="127">
        <f>'p&amp;l base'!$Q$13/12</f>
        <v>-250</v>
      </c>
      <c r="M64" s="127">
        <f>'p&amp;l base'!$Q$13/12</f>
        <v>-250</v>
      </c>
      <c r="N64" s="127">
        <f>'p&amp;l base'!$Q$13/12</f>
        <v>-250</v>
      </c>
      <c r="O64" s="127">
        <f>'p&amp;l base'!$Q$13/12</f>
        <v>-250</v>
      </c>
      <c r="P64" s="138">
        <f>'p&amp;l base'!$Q$13/12</f>
        <v>-250</v>
      </c>
    </row>
    <row r="65" spans="1:16">
      <c r="A65" s="11" t="s">
        <v>55</v>
      </c>
      <c r="B65" s="27" t="s">
        <v>101</v>
      </c>
      <c r="C65" s="27"/>
      <c r="D65" s="27"/>
      <c r="E65" s="123">
        <f>'p&amp;l base'!$N14/12</f>
        <v>-68.52300000000001</v>
      </c>
      <c r="F65" s="127">
        <f>'p&amp;l base'!$Q$14/12</f>
        <v>-76.429500000000019</v>
      </c>
      <c r="G65" s="127">
        <f>'p&amp;l base'!$Q$14/12</f>
        <v>-76.429500000000019</v>
      </c>
      <c r="H65" s="127">
        <f>'p&amp;l base'!$Q$14/12</f>
        <v>-76.429500000000019</v>
      </c>
      <c r="I65" s="127">
        <f>'p&amp;l base'!$Q$14/12</f>
        <v>-76.429500000000019</v>
      </c>
      <c r="J65" s="127">
        <f>'p&amp;l base'!$Q$14/12</f>
        <v>-76.429500000000019</v>
      </c>
      <c r="K65" s="127">
        <f>'p&amp;l base'!$Q$14/12</f>
        <v>-76.429500000000019</v>
      </c>
      <c r="L65" s="127">
        <f>'p&amp;l base'!$Q$14/12</f>
        <v>-76.429500000000019</v>
      </c>
      <c r="M65" s="127">
        <f>'p&amp;l base'!$Q$14/12</f>
        <v>-76.429500000000019</v>
      </c>
      <c r="N65" s="127">
        <f>'p&amp;l base'!$Q$14/12</f>
        <v>-76.429500000000019</v>
      </c>
      <c r="O65" s="127">
        <f>'p&amp;l base'!$Q$14/12</f>
        <v>-76.429500000000019</v>
      </c>
      <c r="P65" s="138">
        <f>'p&amp;l base'!$Q$14/12</f>
        <v>-76.429500000000019</v>
      </c>
    </row>
    <row r="66" spans="1:16">
      <c r="A66" s="11" t="s">
        <v>56</v>
      </c>
      <c r="B66" s="27" t="s">
        <v>60</v>
      </c>
      <c r="C66" s="27"/>
      <c r="D66" s="27"/>
      <c r="E66" s="123">
        <f>'p&amp;l base'!$N15/12</f>
        <v>-87.054000000000016</v>
      </c>
      <c r="F66" s="127">
        <f>'p&amp;l base'!$Q$15/12</f>
        <v>-131.9</v>
      </c>
      <c r="G66" s="127">
        <f>'p&amp;l base'!$Q$15/12</f>
        <v>-131.9</v>
      </c>
      <c r="H66" s="127">
        <f>'p&amp;l base'!$Q$15/12</f>
        <v>-131.9</v>
      </c>
      <c r="I66" s="127">
        <f>'p&amp;l base'!$Q$15/12</f>
        <v>-131.9</v>
      </c>
      <c r="J66" s="127">
        <f>'p&amp;l base'!$Q$15/12</f>
        <v>-131.9</v>
      </c>
      <c r="K66" s="127">
        <f>'p&amp;l base'!$Q$15/12</f>
        <v>-131.9</v>
      </c>
      <c r="L66" s="127">
        <f>'p&amp;l base'!$Q$15/12</f>
        <v>-131.9</v>
      </c>
      <c r="M66" s="127">
        <f>'p&amp;l base'!$Q$15/12</f>
        <v>-131.9</v>
      </c>
      <c r="N66" s="127">
        <f>'p&amp;l base'!$Q$15/12</f>
        <v>-131.9</v>
      </c>
      <c r="O66" s="127">
        <f>'p&amp;l base'!$Q$15/12</f>
        <v>-131.9</v>
      </c>
      <c r="P66" s="138">
        <f>'p&amp;l base'!$Q$15/12</f>
        <v>-131.9</v>
      </c>
    </row>
    <row r="67" spans="1:16">
      <c r="A67" s="11" t="s">
        <v>105</v>
      </c>
      <c r="B67" s="27" t="s">
        <v>106</v>
      </c>
      <c r="C67" s="27"/>
      <c r="D67" s="27"/>
      <c r="E67" s="123">
        <f>(('p&amp;l base'!$AD$19*'p&amp;l base'!$AD$21)+('p&amp;l base'!$AD$24*'p&amp;l base'!$AD$26))/12*(-1)</f>
        <v>-116</v>
      </c>
      <c r="F67" s="123">
        <f>(('p&amp;l base'!$AD$20*'p&amp;l base'!$AD$21)+('p&amp;l base'!$AD$25*'p&amp;l base'!$AD$26))/12*(-1)</f>
        <v>-174</v>
      </c>
      <c r="G67" s="123">
        <f>(('p&amp;l base'!$AD$20*'p&amp;l base'!$AD$21)+('p&amp;l base'!$AD$25*'p&amp;l base'!$AD$26))/12*(-1)</f>
        <v>-174</v>
      </c>
      <c r="H67" s="123">
        <f>(('p&amp;l base'!$AD$20*'p&amp;l base'!$AD$21)+('p&amp;l base'!$AD$25*'p&amp;l base'!$AD$26))/12*(-1)</f>
        <v>-174</v>
      </c>
      <c r="I67" s="123">
        <f>(('p&amp;l base'!$AD$20*'p&amp;l base'!$AD$21)+('p&amp;l base'!$AD$25*'p&amp;l base'!$AD$26))/12*(-1)</f>
        <v>-174</v>
      </c>
      <c r="J67" s="123">
        <f>(('p&amp;l base'!$AD$20*'p&amp;l base'!$AD$21)+('p&amp;l base'!$AD$25*'p&amp;l base'!$AD$26))/12*(-1)</f>
        <v>-174</v>
      </c>
      <c r="K67" s="123">
        <f>(('p&amp;l base'!$AD$20*'p&amp;l base'!$AD$21)+('p&amp;l base'!$AD$25*'p&amp;l base'!$AD$26))/12*(-1)</f>
        <v>-174</v>
      </c>
      <c r="L67" s="123">
        <f>(('p&amp;l base'!$AD$20*'p&amp;l base'!$AD$21)+('p&amp;l base'!$AD$25*'p&amp;l base'!$AD$26))/12*(-1)</f>
        <v>-174</v>
      </c>
      <c r="M67" s="123">
        <f>(('p&amp;l base'!$AD$20*'p&amp;l base'!$AD$21)+('p&amp;l base'!$AD$25*'p&amp;l base'!$AD$26))/12*(-1)</f>
        <v>-174</v>
      </c>
      <c r="N67" s="123">
        <f>(('p&amp;l base'!$AD$20*'p&amp;l base'!$AD$21)+('p&amp;l base'!$AD$25*'p&amp;l base'!$AD$26))/12*(-1)</f>
        <v>-174</v>
      </c>
      <c r="O67" s="123">
        <f>(('p&amp;l base'!$AD$20*'p&amp;l base'!$AD$21)+('p&amp;l base'!$AD$25*'p&amp;l base'!$AD$26))/12*(-1)</f>
        <v>-174</v>
      </c>
      <c r="P67" s="132">
        <f>(('p&amp;l base'!$AD$20*'p&amp;l base'!$AD$21)+('p&amp;l base'!$AD$25*'p&amp;l base'!$AD$26))/12*(-1)</f>
        <v>-174</v>
      </c>
    </row>
    <row r="68" spans="1:16">
      <c r="A68" s="66" t="s">
        <v>62</v>
      </c>
      <c r="B68" s="64" t="s">
        <v>63</v>
      </c>
      <c r="C68" s="32"/>
      <c r="D68" s="32"/>
      <c r="E68" s="126">
        <f>SUM(E61:E67)</f>
        <v>89.772999999999854</v>
      </c>
      <c r="F68" s="126">
        <f t="shared" ref="F68:P68" si="14">SUM(F61:F67)</f>
        <v>-955.97950000000003</v>
      </c>
      <c r="G68" s="126">
        <f t="shared" si="14"/>
        <v>1220.3704999999998</v>
      </c>
      <c r="H68" s="126">
        <f t="shared" si="14"/>
        <v>1220.3704999999998</v>
      </c>
      <c r="I68" s="126">
        <f t="shared" si="14"/>
        <v>3462.6704999999997</v>
      </c>
      <c r="J68" s="126">
        <f t="shared" si="14"/>
        <v>3462.6704999999997</v>
      </c>
      <c r="K68" s="126">
        <f t="shared" si="14"/>
        <v>3462.6704999999997</v>
      </c>
      <c r="L68" s="126">
        <f t="shared" si="14"/>
        <v>3462.6704999999997</v>
      </c>
      <c r="M68" s="126">
        <f t="shared" si="14"/>
        <v>3462.6704999999997</v>
      </c>
      <c r="N68" s="126">
        <f t="shared" si="14"/>
        <v>3462.6704999999997</v>
      </c>
      <c r="O68" s="126">
        <f t="shared" si="14"/>
        <v>3462.6704999999997</v>
      </c>
      <c r="P68" s="135">
        <f t="shared" si="14"/>
        <v>3462.6704999999997</v>
      </c>
    </row>
    <row r="69" spans="1:16">
      <c r="A69" s="11" t="s">
        <v>65</v>
      </c>
      <c r="B69" s="27" t="s">
        <v>64</v>
      </c>
      <c r="C69" s="27"/>
      <c r="D69" s="27"/>
      <c r="E69" s="123">
        <f>(('p&amp;l base'!$AD$3-65)+('p&amp;l base'!$AD$14*2)+('p&amp;l base'!$AD$7*'p&amp;l base'!$AD$8)+('p&amp;l base'!$AD$10*'p&amp;l base'!$AD$11))/12*(-1)</f>
        <v>-59.833333333333336</v>
      </c>
      <c r="F69" s="123">
        <f>(('p&amp;l base'!$AD$3-65)+('p&amp;l base'!$AD$14*2)+('p&amp;l base'!$AD$7*'p&amp;l base'!$AD$8)+('p&amp;l base'!$AD$10*'p&amp;l base'!$AD$11))/12*(-1)</f>
        <v>-59.833333333333336</v>
      </c>
      <c r="G69" s="123">
        <f>(('p&amp;l base'!$AD$3)+('p&amp;l base'!$AD$14*2)+('p&amp;l base'!$AD$7*'p&amp;l base'!$AD$8)+('p&amp;l base'!$AD$10*'p&amp;l base'!$AD$11))/12*(-1)</f>
        <v>-65.25</v>
      </c>
      <c r="H69" s="123">
        <f>(('p&amp;l base'!$AD$3)+('p&amp;l base'!$AD$14*2)+('p&amp;l base'!$AD$7*'p&amp;l base'!$AD$8)+('p&amp;l base'!$AD$10*'p&amp;l base'!$AD$11))/12*(-1)</f>
        <v>-65.25</v>
      </c>
      <c r="I69" s="123">
        <f>(('p&amp;l base'!$AD$3)+('p&amp;l base'!$AD$14*2)+('p&amp;l base'!$AD$7*'p&amp;l base'!$AD$8)+('p&amp;l base'!$AD$10*'p&amp;l base'!$AD$11))/12*(-1)</f>
        <v>-65.25</v>
      </c>
      <c r="J69" s="123">
        <f>(('p&amp;l base'!$AD$3)+('p&amp;l base'!$AD$14*2)+('p&amp;l base'!$AD$7*'p&amp;l base'!$AD$8)+('p&amp;l base'!$AD$10*'p&amp;l base'!$AD$11))/12*(-1)</f>
        <v>-65.25</v>
      </c>
      <c r="K69" s="123">
        <f>(('p&amp;l base'!$AD$3)+('p&amp;l base'!$AD$14*2)+('p&amp;l base'!$AD$7*'p&amp;l base'!$AD$8)+('p&amp;l base'!$AD$10*'p&amp;l base'!$AD$11))/12*(-1)</f>
        <v>-65.25</v>
      </c>
      <c r="L69" s="123">
        <f>(('p&amp;l base'!$AD$3)+('p&amp;l base'!$AD$14*2)+('p&amp;l base'!$AD$7*'p&amp;l base'!$AD$8)+('p&amp;l base'!$AD$10*'p&amp;l base'!$AD$11))/12*(-1)</f>
        <v>-65.25</v>
      </c>
      <c r="M69" s="123">
        <f>(('p&amp;l base'!$AD$3)+('p&amp;l base'!$AD$14*2)+('p&amp;l base'!$AD$7*'p&amp;l base'!$AD$8)+('p&amp;l base'!$AD$10*'p&amp;l base'!$AD$11))/12*(-1)</f>
        <v>-65.25</v>
      </c>
      <c r="N69" s="123">
        <f>(('p&amp;l base'!$AD$3)+('p&amp;l base'!$AD$14*2)+('p&amp;l base'!$AD$7*'p&amp;l base'!$AD$8)+('p&amp;l base'!$AD$10*'p&amp;l base'!$AD$11))/12*(-1)</f>
        <v>-65.25</v>
      </c>
      <c r="O69" s="123">
        <f>(('p&amp;l base'!$AD$3)+('p&amp;l base'!$AD$14*2)+('p&amp;l base'!$AD$7*'p&amp;l base'!$AD$8)+('p&amp;l base'!$AD$10*'p&amp;l base'!$AD$11))/12*(-1)</f>
        <v>-65.25</v>
      </c>
      <c r="P69" s="132">
        <f>(('p&amp;l base'!$AD$3)+('p&amp;l base'!$AD$14*2)+('p&amp;l base'!$AD$7*'p&amp;l base'!$AD$8)+('p&amp;l base'!$AD$10*'p&amp;l base'!$AD$11))/12*(-1)</f>
        <v>-65.25</v>
      </c>
    </row>
    <row r="70" spans="1:16">
      <c r="A70" s="11" t="s">
        <v>66</v>
      </c>
      <c r="B70" s="27" t="s">
        <v>107</v>
      </c>
      <c r="C70" s="27"/>
      <c r="D70" s="27"/>
      <c r="E70" s="123">
        <f>'p&amp;l base'!$K$19/12</f>
        <v>-165.14041514041514</v>
      </c>
      <c r="F70" s="123">
        <f>'p&amp;l base'!$K$19/12</f>
        <v>-165.14041514041514</v>
      </c>
      <c r="G70" s="123">
        <f>'p&amp;l base'!$K$19/12</f>
        <v>-165.14041514041514</v>
      </c>
      <c r="H70" s="123">
        <f>'p&amp;l base'!$K$19/12</f>
        <v>-165.14041514041514</v>
      </c>
      <c r="I70" s="123">
        <f>'p&amp;l base'!$K$19/12</f>
        <v>-165.14041514041514</v>
      </c>
      <c r="J70" s="123">
        <f>'p&amp;l base'!$K$19/12</f>
        <v>-165.14041514041514</v>
      </c>
      <c r="K70" s="123">
        <f>'p&amp;l base'!$K$19/12</f>
        <v>-165.14041514041514</v>
      </c>
      <c r="L70" s="123">
        <f>'p&amp;l base'!$K$19/12</f>
        <v>-165.14041514041514</v>
      </c>
      <c r="M70" s="123">
        <f>'p&amp;l base'!$K$19/12</f>
        <v>-165.14041514041514</v>
      </c>
      <c r="N70" s="123">
        <f>'p&amp;l base'!$K$19/12</f>
        <v>-165.14041514041514</v>
      </c>
      <c r="O70" s="123">
        <f>'p&amp;l base'!$K$19/12</f>
        <v>-165.14041514041514</v>
      </c>
      <c r="P70" s="132">
        <f>'p&amp;l base'!$K$19/12</f>
        <v>-165.14041514041514</v>
      </c>
    </row>
    <row r="71" spans="1:16">
      <c r="A71" s="11" t="s">
        <v>67</v>
      </c>
      <c r="B71" s="27" t="s">
        <v>68</v>
      </c>
      <c r="C71" s="27"/>
      <c r="D71" s="27"/>
      <c r="E71" s="127">
        <f>'p&amp;l base'!$N$20/12</f>
        <v>-174.10800000000003</v>
      </c>
      <c r="F71" s="127">
        <f>'p&amp;l base'!$Q$20/12</f>
        <v>-263.8</v>
      </c>
      <c r="G71" s="127">
        <f>'p&amp;l base'!$Q$20/12</f>
        <v>-263.8</v>
      </c>
      <c r="H71" s="127">
        <f>'p&amp;l base'!$Q$20/12</f>
        <v>-263.8</v>
      </c>
      <c r="I71" s="127">
        <f>'p&amp;l base'!$Q$20/12</f>
        <v>-263.8</v>
      </c>
      <c r="J71" s="127">
        <f>'p&amp;l base'!$Q$20/12</f>
        <v>-263.8</v>
      </c>
      <c r="K71" s="127">
        <f>'p&amp;l base'!$Q$20/12</f>
        <v>-263.8</v>
      </c>
      <c r="L71" s="127">
        <f>'p&amp;l base'!$Q$20/12</f>
        <v>-263.8</v>
      </c>
      <c r="M71" s="127">
        <f>'p&amp;l base'!$Q$20/12</f>
        <v>-263.8</v>
      </c>
      <c r="N71" s="127">
        <f>'p&amp;l base'!$Q$20/12</f>
        <v>-263.8</v>
      </c>
      <c r="O71" s="127">
        <f>'p&amp;l base'!$Q$20/12</f>
        <v>-263.8</v>
      </c>
      <c r="P71" s="138">
        <f>'p&amp;l base'!$Q$20/12</f>
        <v>-263.8</v>
      </c>
    </row>
    <row r="72" spans="1:16">
      <c r="A72" s="11" t="s">
        <v>53</v>
      </c>
      <c r="B72" s="27" t="s">
        <v>69</v>
      </c>
      <c r="C72" s="27"/>
      <c r="D72" s="27"/>
      <c r="E72" s="127">
        <f>'p&amp;l base'!$N$21/12</f>
        <v>-174.10800000000003</v>
      </c>
      <c r="F72" s="127">
        <f>'p&amp;l base'!$Q$21/12</f>
        <v>-263.8</v>
      </c>
      <c r="G72" s="127">
        <f>'p&amp;l base'!$Q$21/12</f>
        <v>-263.8</v>
      </c>
      <c r="H72" s="127">
        <f>'p&amp;l base'!$Q$21/12</f>
        <v>-263.8</v>
      </c>
      <c r="I72" s="127">
        <f>'p&amp;l base'!$Q$21/12</f>
        <v>-263.8</v>
      </c>
      <c r="J72" s="127">
        <f>'p&amp;l base'!$Q$21/12</f>
        <v>-263.8</v>
      </c>
      <c r="K72" s="127">
        <f>'p&amp;l base'!$Q$21/12</f>
        <v>-263.8</v>
      </c>
      <c r="L72" s="127">
        <f>'p&amp;l base'!$Q$21/12</f>
        <v>-263.8</v>
      </c>
      <c r="M72" s="127">
        <f>'p&amp;l base'!$Q$21/12</f>
        <v>-263.8</v>
      </c>
      <c r="N72" s="127">
        <f>'p&amp;l base'!$Q$21/12</f>
        <v>-263.8</v>
      </c>
      <c r="O72" s="127">
        <f>'p&amp;l base'!$Q$21/12</f>
        <v>-263.8</v>
      </c>
      <c r="P72" s="138">
        <f>'p&amp;l base'!$Q$21/12</f>
        <v>-263.8</v>
      </c>
    </row>
    <row r="73" spans="1:16">
      <c r="A73" s="66" t="s">
        <v>70</v>
      </c>
      <c r="B73" s="64" t="s">
        <v>71</v>
      </c>
      <c r="C73" s="32"/>
      <c r="D73" s="32"/>
      <c r="E73" s="126">
        <f>SUM(E68:E72)</f>
        <v>-483.41674847374873</v>
      </c>
      <c r="F73" s="126">
        <f t="shared" ref="F73:P73" si="15">SUM(F68:F72)</f>
        <v>-1708.5532484737485</v>
      </c>
      <c r="G73" s="126">
        <f t="shared" si="15"/>
        <v>462.38008485958466</v>
      </c>
      <c r="H73" s="126">
        <f t="shared" si="15"/>
        <v>462.38008485958466</v>
      </c>
      <c r="I73" s="126">
        <f t="shared" si="15"/>
        <v>2704.680084859584</v>
      </c>
      <c r="J73" s="126">
        <f t="shared" si="15"/>
        <v>2704.680084859584</v>
      </c>
      <c r="K73" s="126">
        <f t="shared" si="15"/>
        <v>2704.680084859584</v>
      </c>
      <c r="L73" s="126">
        <f t="shared" si="15"/>
        <v>2704.680084859584</v>
      </c>
      <c r="M73" s="126">
        <f t="shared" si="15"/>
        <v>2704.680084859584</v>
      </c>
      <c r="N73" s="126">
        <f t="shared" si="15"/>
        <v>2704.680084859584</v>
      </c>
      <c r="O73" s="126">
        <f t="shared" si="15"/>
        <v>2704.680084859584</v>
      </c>
      <c r="P73" s="135">
        <f t="shared" si="15"/>
        <v>2704.680084859584</v>
      </c>
    </row>
    <row r="74" spans="1:16">
      <c r="A74" s="11" t="s">
        <v>72</v>
      </c>
      <c r="B74" s="27" t="s">
        <v>73</v>
      </c>
      <c r="C74" s="27"/>
      <c r="D74" s="27"/>
      <c r="E74" s="127"/>
      <c r="F74" s="127"/>
      <c r="G74" s="123"/>
      <c r="H74" s="123"/>
      <c r="I74" s="123"/>
      <c r="J74" s="123"/>
      <c r="K74" s="123"/>
      <c r="L74" s="123"/>
      <c r="M74" s="123"/>
      <c r="N74" s="123"/>
      <c r="O74" s="123"/>
      <c r="P74" s="132"/>
    </row>
    <row r="75" spans="1:16">
      <c r="A75" s="11" t="s">
        <v>74</v>
      </c>
      <c r="B75" s="27" t="s">
        <v>25</v>
      </c>
      <c r="C75" s="27"/>
      <c r="D75" s="27"/>
      <c r="E75" s="127">
        <f>'p&amp;l base'!$N$24/12</f>
        <v>-186.67980384666666</v>
      </c>
      <c r="F75" s="127">
        <f>'p&amp;l base'!$Q$24/12</f>
        <v>-186.68638886333335</v>
      </c>
      <c r="G75" s="127">
        <f>'p&amp;l base'!$Q$24/12</f>
        <v>-186.68638886333335</v>
      </c>
      <c r="H75" s="127">
        <f>'p&amp;l base'!$Q$24/12</f>
        <v>-186.68638886333335</v>
      </c>
      <c r="I75" s="127">
        <f>'p&amp;l base'!$Q$24/12</f>
        <v>-186.68638886333335</v>
      </c>
      <c r="J75" s="127">
        <f>'p&amp;l base'!$Q$24/12</f>
        <v>-186.68638886333335</v>
      </c>
      <c r="K75" s="127">
        <f>'p&amp;l base'!$Q$24/12</f>
        <v>-186.68638886333335</v>
      </c>
      <c r="L75" s="127">
        <f>'p&amp;l base'!$Q$24/12</f>
        <v>-186.68638886333335</v>
      </c>
      <c r="M75" s="127">
        <f>'p&amp;l base'!$Q$24/12</f>
        <v>-186.68638886333335</v>
      </c>
      <c r="N75" s="127">
        <f>'p&amp;l base'!$Q$24/12</f>
        <v>-186.68638886333335</v>
      </c>
      <c r="O75" s="127">
        <f>'p&amp;l base'!$Q$24/12</f>
        <v>-186.68638886333335</v>
      </c>
      <c r="P75" s="138">
        <f>'p&amp;l base'!$Q$24/12</f>
        <v>-186.68638886333335</v>
      </c>
    </row>
    <row r="76" spans="1:16">
      <c r="A76" s="11" t="s">
        <v>76</v>
      </c>
      <c r="B76" s="27" t="s">
        <v>77</v>
      </c>
      <c r="C76" s="27"/>
      <c r="D76" s="27"/>
      <c r="E76" s="127"/>
      <c r="F76" s="127"/>
      <c r="G76" s="123"/>
      <c r="H76" s="123"/>
      <c r="I76" s="123"/>
      <c r="J76" s="123"/>
      <c r="K76" s="123"/>
      <c r="L76" s="123"/>
      <c r="M76" s="123"/>
      <c r="N76" s="123"/>
      <c r="O76" s="123"/>
      <c r="P76" s="132"/>
    </row>
    <row r="77" spans="1:16">
      <c r="A77" s="66" t="s">
        <v>78</v>
      </c>
      <c r="B77" s="64" t="s">
        <v>79</v>
      </c>
      <c r="C77" s="32"/>
      <c r="D77" s="32"/>
      <c r="E77" s="126">
        <f>SUM(E73:E76)</f>
        <v>-670.09655232041541</v>
      </c>
      <c r="F77" s="126">
        <f t="shared" ref="F77:P77" si="16">SUM(F73:F76)</f>
        <v>-1895.2396373370818</v>
      </c>
      <c r="G77" s="126">
        <f t="shared" si="16"/>
        <v>275.69369599625134</v>
      </c>
      <c r="H77" s="126">
        <f t="shared" si="16"/>
        <v>275.69369599625134</v>
      </c>
      <c r="I77" s="126">
        <f t="shared" si="16"/>
        <v>2517.9936959962506</v>
      </c>
      <c r="J77" s="126">
        <f t="shared" si="16"/>
        <v>2517.9936959962506</v>
      </c>
      <c r="K77" s="126">
        <f t="shared" si="16"/>
        <v>2517.9936959962506</v>
      </c>
      <c r="L77" s="126">
        <f t="shared" si="16"/>
        <v>2517.9936959962506</v>
      </c>
      <c r="M77" s="126">
        <f t="shared" si="16"/>
        <v>2517.9936959962506</v>
      </c>
      <c r="N77" s="126">
        <f t="shared" si="16"/>
        <v>2517.9936959962506</v>
      </c>
      <c r="O77" s="126">
        <f t="shared" si="16"/>
        <v>2517.9936959962506</v>
      </c>
      <c r="P77" s="135">
        <f t="shared" si="16"/>
        <v>2517.9936959962506</v>
      </c>
    </row>
    <row r="78" spans="1:16">
      <c r="A78" s="11" t="s">
        <v>80</v>
      </c>
      <c r="B78" s="27" t="s">
        <v>81</v>
      </c>
      <c r="C78" s="27"/>
      <c r="D78" s="27"/>
      <c r="E78" s="123">
        <f>'p&amp;l base'!$E$27*'cash flow monthly'!E77*(-1)</f>
        <v>187.62703464971634</v>
      </c>
      <c r="F78" s="123">
        <f>'p&amp;l base'!$E$27*'cash flow monthly'!F77*(-1)</f>
        <v>530.66709845438299</v>
      </c>
      <c r="G78" s="123">
        <f>'p&amp;l base'!$E$27*'cash flow monthly'!G77*(-1)</f>
        <v>-77.194234878950382</v>
      </c>
      <c r="H78" s="123">
        <f>'p&amp;l base'!$E$27*'cash flow monthly'!H77*(-1)</f>
        <v>-77.194234878950382</v>
      </c>
      <c r="I78" s="123">
        <f>'p&amp;l base'!$E$27*'cash flow monthly'!I77*(-1)</f>
        <v>-705.03823487895022</v>
      </c>
      <c r="J78" s="123">
        <f>'p&amp;l base'!$E$27*'cash flow monthly'!J77*(-1)</f>
        <v>-705.03823487895022</v>
      </c>
      <c r="K78" s="123">
        <f>'p&amp;l base'!$E$27*'cash flow monthly'!K77*(-1)</f>
        <v>-705.03823487895022</v>
      </c>
      <c r="L78" s="123">
        <f>'p&amp;l base'!$E$27*'cash flow monthly'!L77*(-1)</f>
        <v>-705.03823487895022</v>
      </c>
      <c r="M78" s="123">
        <f>'p&amp;l base'!$E$27*'cash flow monthly'!M77*(-1)</f>
        <v>-705.03823487895022</v>
      </c>
      <c r="N78" s="123">
        <f>'p&amp;l base'!$E$27*'cash flow monthly'!N77*(-1)</f>
        <v>-705.03823487895022</v>
      </c>
      <c r="O78" s="123">
        <f>'p&amp;l base'!$E$27*'cash flow monthly'!O77*(-1)</f>
        <v>-705.03823487895022</v>
      </c>
      <c r="P78" s="132">
        <f>'p&amp;l base'!$E$27*'cash flow monthly'!P77*(-1)</f>
        <v>-705.03823487895022</v>
      </c>
    </row>
    <row r="79" spans="1:16">
      <c r="A79" s="66" t="s">
        <v>82</v>
      </c>
      <c r="B79" s="64" t="s">
        <v>83</v>
      </c>
      <c r="C79" s="32"/>
      <c r="D79" s="32"/>
      <c r="E79" s="126">
        <f>SUM(E77:E78)</f>
        <v>-482.46951767069908</v>
      </c>
      <c r="F79" s="126">
        <f t="shared" ref="F79:P79" si="17">SUM(F77:F78)</f>
        <v>-1364.5725388826988</v>
      </c>
      <c r="G79" s="126">
        <f t="shared" si="17"/>
        <v>198.49946111730094</v>
      </c>
      <c r="H79" s="126">
        <f t="shared" si="17"/>
        <v>198.49946111730094</v>
      </c>
      <c r="I79" s="126">
        <f t="shared" si="17"/>
        <v>1812.9554611173003</v>
      </c>
      <c r="J79" s="126">
        <f t="shared" si="17"/>
        <v>1812.9554611173003</v>
      </c>
      <c r="K79" s="126">
        <f t="shared" si="17"/>
        <v>1812.9554611173003</v>
      </c>
      <c r="L79" s="126">
        <f t="shared" si="17"/>
        <v>1812.9554611173003</v>
      </c>
      <c r="M79" s="126">
        <f t="shared" si="17"/>
        <v>1812.9554611173003</v>
      </c>
      <c r="N79" s="126">
        <f t="shared" si="17"/>
        <v>1812.9554611173003</v>
      </c>
      <c r="O79" s="126">
        <f t="shared" si="17"/>
        <v>1812.9554611173003</v>
      </c>
      <c r="P79" s="135">
        <f t="shared" si="17"/>
        <v>1812.9554611173003</v>
      </c>
    </row>
    <row r="80" spans="1:16">
      <c r="A80" s="11" t="s">
        <v>84</v>
      </c>
      <c r="B80" s="82" t="s">
        <v>85</v>
      </c>
      <c r="C80" s="27"/>
      <c r="D80" s="27"/>
      <c r="E80" s="127">
        <f t="shared" ref="E80:P80" si="18">E70*(-1)</f>
        <v>165.14041514041514</v>
      </c>
      <c r="F80" s="127">
        <f t="shared" si="18"/>
        <v>165.14041514041514</v>
      </c>
      <c r="G80" s="127">
        <f t="shared" si="18"/>
        <v>165.14041514041514</v>
      </c>
      <c r="H80" s="127">
        <f t="shared" si="18"/>
        <v>165.14041514041514</v>
      </c>
      <c r="I80" s="127">
        <f t="shared" si="18"/>
        <v>165.14041514041514</v>
      </c>
      <c r="J80" s="127">
        <f t="shared" si="18"/>
        <v>165.14041514041514</v>
      </c>
      <c r="K80" s="127">
        <f t="shared" si="18"/>
        <v>165.14041514041514</v>
      </c>
      <c r="L80" s="127">
        <f t="shared" si="18"/>
        <v>165.14041514041514</v>
      </c>
      <c r="M80" s="127">
        <f t="shared" si="18"/>
        <v>165.14041514041514</v>
      </c>
      <c r="N80" s="127">
        <f t="shared" si="18"/>
        <v>165.14041514041514</v>
      </c>
      <c r="O80" s="127">
        <f t="shared" si="18"/>
        <v>165.14041514041514</v>
      </c>
      <c r="P80" s="138">
        <f t="shared" si="18"/>
        <v>165.14041514041514</v>
      </c>
    </row>
    <row r="81" spans="1:16" ht="17" thickBot="1">
      <c r="A81" s="86" t="s">
        <v>86</v>
      </c>
      <c r="B81" s="87" t="s">
        <v>87</v>
      </c>
      <c r="C81" s="103"/>
      <c r="D81" s="103"/>
      <c r="E81" s="136">
        <f>SUM(E79:E80)</f>
        <v>-317.32910253028393</v>
      </c>
      <c r="F81" s="136">
        <f t="shared" ref="F81:P81" si="19">SUM(F79:F80)</f>
        <v>-1199.4321237422837</v>
      </c>
      <c r="G81" s="136">
        <f t="shared" si="19"/>
        <v>363.63987625771608</v>
      </c>
      <c r="H81" s="136">
        <f t="shared" si="19"/>
        <v>363.63987625771608</v>
      </c>
      <c r="I81" s="136">
        <f t="shared" si="19"/>
        <v>1978.0958762577154</v>
      </c>
      <c r="J81" s="136">
        <f t="shared" si="19"/>
        <v>1978.0958762577154</v>
      </c>
      <c r="K81" s="136">
        <f t="shared" si="19"/>
        <v>1978.0958762577154</v>
      </c>
      <c r="L81" s="136">
        <f t="shared" si="19"/>
        <v>1978.0958762577154</v>
      </c>
      <c r="M81" s="136">
        <f t="shared" si="19"/>
        <v>1978.0958762577154</v>
      </c>
      <c r="N81" s="136">
        <f t="shared" si="19"/>
        <v>1978.0958762577154</v>
      </c>
      <c r="O81" s="136">
        <f t="shared" si="19"/>
        <v>1978.0958762577154</v>
      </c>
      <c r="P81" s="137">
        <f t="shared" si="19"/>
        <v>1978.0958762577154</v>
      </c>
    </row>
    <row r="82" spans="1:16">
      <c r="A82" s="159" t="s">
        <v>118</v>
      </c>
      <c r="B82" s="160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1"/>
    </row>
    <row r="83" spans="1:16">
      <c r="A83" s="11"/>
      <c r="B83" s="117" t="s">
        <v>109</v>
      </c>
      <c r="C83" s="27"/>
      <c r="D83" s="27"/>
      <c r="E83" s="139">
        <v>13516</v>
      </c>
      <c r="F83" s="139">
        <v>13912</v>
      </c>
      <c r="G83" s="139">
        <v>14305</v>
      </c>
      <c r="H83" s="139">
        <v>14702</v>
      </c>
      <c r="I83" s="139">
        <v>15097</v>
      </c>
      <c r="J83" s="139">
        <v>15493</v>
      </c>
      <c r="K83" s="139">
        <v>15888</v>
      </c>
      <c r="L83" s="139">
        <v>16285</v>
      </c>
      <c r="M83" s="139">
        <v>16681</v>
      </c>
      <c r="N83" s="139">
        <v>17076</v>
      </c>
      <c r="O83" s="139">
        <v>17472</v>
      </c>
      <c r="P83" s="140">
        <v>17868</v>
      </c>
    </row>
    <row r="84" spans="1:16">
      <c r="A84" s="18" t="s">
        <v>42</v>
      </c>
      <c r="B84" s="64" t="s">
        <v>114</v>
      </c>
      <c r="C84" s="32"/>
      <c r="D84" s="32"/>
      <c r="E84" s="122">
        <f>'p&amp;l base'!$Q$6/12</f>
        <v>6250</v>
      </c>
      <c r="F84" s="122">
        <f>'p&amp;l base'!$Q$6/12</f>
        <v>6250</v>
      </c>
      <c r="G84" s="122">
        <f>'p&amp;l base'!$Q$6/12</f>
        <v>6250</v>
      </c>
      <c r="H84" s="122">
        <f>'p&amp;l base'!$Q$6/12</f>
        <v>6250</v>
      </c>
      <c r="I84" s="122">
        <f>'p&amp;l base'!$Q$6/12</f>
        <v>6250</v>
      </c>
      <c r="J84" s="122">
        <f>'p&amp;l base'!$Q$6/12</f>
        <v>6250</v>
      </c>
      <c r="K84" s="122">
        <f>'p&amp;l base'!$Q$6/12</f>
        <v>6250</v>
      </c>
      <c r="L84" s="122">
        <f>'p&amp;l base'!$Q$6/12</f>
        <v>6250</v>
      </c>
      <c r="M84" s="122">
        <f>'p&amp;l base'!$Q$6/12</f>
        <v>6250</v>
      </c>
      <c r="N84" s="122">
        <f>'p&amp;l base'!$Q$6/12</f>
        <v>6250</v>
      </c>
      <c r="O84" s="122">
        <f>'p&amp;l base'!$Q$6/12</f>
        <v>6250</v>
      </c>
      <c r="P84" s="131">
        <f>'p&amp;l base'!$Q$6/12</f>
        <v>6250</v>
      </c>
    </row>
    <row r="85" spans="1:16">
      <c r="A85" s="11" t="s">
        <v>43</v>
      </c>
      <c r="B85" s="27" t="s">
        <v>110</v>
      </c>
      <c r="C85" s="27"/>
      <c r="D85" s="27"/>
      <c r="E85" s="125">
        <f>'p&amp;l base'!$Q$7/12</f>
        <v>320</v>
      </c>
      <c r="F85" s="125">
        <f>'p&amp;l base'!$Q$7/12</f>
        <v>320</v>
      </c>
      <c r="G85" s="125">
        <f>'p&amp;l base'!$Q$7/12</f>
        <v>320</v>
      </c>
      <c r="H85" s="125">
        <f>'p&amp;l base'!$Q$7/12</f>
        <v>320</v>
      </c>
      <c r="I85" s="125">
        <f>'p&amp;l base'!$Q$7/12</f>
        <v>320</v>
      </c>
      <c r="J85" s="125">
        <f>'p&amp;l base'!$Q$7/12</f>
        <v>320</v>
      </c>
      <c r="K85" s="125">
        <f>'p&amp;l base'!$Q$7/12</f>
        <v>320</v>
      </c>
      <c r="L85" s="125">
        <f>'p&amp;l base'!$Q$7/12</f>
        <v>320</v>
      </c>
      <c r="M85" s="125">
        <f>'p&amp;l base'!$Q$7/12</f>
        <v>320</v>
      </c>
      <c r="N85" s="125">
        <f>'p&amp;l base'!$Q$7/12</f>
        <v>320</v>
      </c>
      <c r="O85" s="125">
        <f>'p&amp;l base'!$Q$7/12</f>
        <v>320</v>
      </c>
      <c r="P85" s="134">
        <f>'p&amp;l base'!$Q$7/12</f>
        <v>320</v>
      </c>
    </row>
    <row r="86" spans="1:16">
      <c r="A86" s="11" t="s">
        <v>44</v>
      </c>
      <c r="B86" s="27" t="s">
        <v>144</v>
      </c>
      <c r="C86" s="27"/>
      <c r="D86" s="27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34"/>
    </row>
    <row r="87" spans="1:16">
      <c r="A87" s="11" t="s">
        <v>47</v>
      </c>
      <c r="B87" s="27" t="s">
        <v>50</v>
      </c>
      <c r="C87" s="27"/>
      <c r="D87" s="27"/>
      <c r="E87" s="125">
        <f>'p&amp;l base'!$Q$9/12</f>
        <v>25</v>
      </c>
      <c r="F87" s="125">
        <f>'p&amp;l base'!$Q$9/12</f>
        <v>25</v>
      </c>
      <c r="G87" s="125">
        <f>'p&amp;l base'!$Q$9/12</f>
        <v>25</v>
      </c>
      <c r="H87" s="125">
        <f>'p&amp;l base'!$Q$9/12</f>
        <v>25</v>
      </c>
      <c r="I87" s="125">
        <f>'p&amp;l base'!$Q$9/12</f>
        <v>25</v>
      </c>
      <c r="J87" s="125">
        <f>'p&amp;l base'!$Q$9/12</f>
        <v>25</v>
      </c>
      <c r="K87" s="125">
        <f>'p&amp;l base'!$Q$9/12</f>
        <v>25</v>
      </c>
      <c r="L87" s="125">
        <f>'p&amp;l base'!$Q$9/12</f>
        <v>25</v>
      </c>
      <c r="M87" s="125">
        <f>'p&amp;l base'!$Q$9/12</f>
        <v>25</v>
      </c>
      <c r="N87" s="125">
        <f>'p&amp;l base'!$Q$9/12</f>
        <v>25</v>
      </c>
      <c r="O87" s="125">
        <f>'p&amp;l base'!$Q$9/12</f>
        <v>25</v>
      </c>
      <c r="P87" s="134">
        <f>'p&amp;l base'!$Q$9/12</f>
        <v>25</v>
      </c>
    </row>
    <row r="88" spans="1:16">
      <c r="A88" s="66" t="s">
        <v>48</v>
      </c>
      <c r="B88" s="64" t="s">
        <v>51</v>
      </c>
      <c r="C88" s="32"/>
      <c r="D88" s="32"/>
      <c r="E88" s="122">
        <f t="shared" ref="E88:F88" si="20">SUM(E84:E87)</f>
        <v>6595</v>
      </c>
      <c r="F88" s="122">
        <f t="shared" si="20"/>
        <v>6595</v>
      </c>
      <c r="G88" s="122">
        <f t="shared" ref="G88" si="21">SUM(G84:G87)</f>
        <v>6595</v>
      </c>
      <c r="H88" s="122">
        <f t="shared" ref="H88" si="22">SUM(H84:H87)</f>
        <v>6595</v>
      </c>
      <c r="I88" s="122">
        <f t="shared" ref="I88" si="23">SUM(I84:I87)</f>
        <v>6595</v>
      </c>
      <c r="J88" s="122">
        <f t="shared" ref="J88" si="24">SUM(J84:J87)</f>
        <v>6595</v>
      </c>
      <c r="K88" s="122">
        <f t="shared" ref="K88" si="25">SUM(K84:K87)</f>
        <v>6595</v>
      </c>
      <c r="L88" s="122">
        <f t="shared" ref="L88" si="26">SUM(L84:L87)</f>
        <v>6595</v>
      </c>
      <c r="M88" s="122">
        <f t="shared" ref="M88" si="27">SUM(M84:M87)</f>
        <v>6595</v>
      </c>
      <c r="N88" s="122">
        <f t="shared" ref="N88" si="28">SUM(N84:N87)</f>
        <v>6595</v>
      </c>
      <c r="O88" s="122">
        <f t="shared" ref="O88" si="29">SUM(O84:O87)</f>
        <v>6595</v>
      </c>
      <c r="P88" s="131">
        <f t="shared" ref="P88" si="30">SUM(P84:P87)</f>
        <v>6595</v>
      </c>
    </row>
    <row r="89" spans="1:16">
      <c r="A89" s="11" t="s">
        <v>49</v>
      </c>
      <c r="B89" s="27" t="s">
        <v>52</v>
      </c>
      <c r="C89" s="27"/>
      <c r="D89" s="27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33"/>
    </row>
    <row r="90" spans="1:16" ht="19">
      <c r="A90" s="11" t="s">
        <v>53</v>
      </c>
      <c r="B90" s="27" t="s">
        <v>89</v>
      </c>
      <c r="C90" s="27"/>
      <c r="D90" s="27"/>
      <c r="E90" s="127">
        <f>'p&amp;l base'!$Q$12/12</f>
        <v>-2500</v>
      </c>
      <c r="F90" s="127">
        <f>'p&amp;l base'!$Q$12/12</f>
        <v>-2500</v>
      </c>
      <c r="G90" s="127">
        <f>'p&amp;l base'!$Q$12/12</f>
        <v>-2500</v>
      </c>
      <c r="H90" s="127">
        <f>'p&amp;l base'!$Q$12/12</f>
        <v>-2500</v>
      </c>
      <c r="I90" s="127">
        <f>'p&amp;l base'!$Q$12/12</f>
        <v>-2500</v>
      </c>
      <c r="J90" s="127">
        <f>'p&amp;l base'!$Q$12/12</f>
        <v>-2500</v>
      </c>
      <c r="K90" s="127">
        <f>'p&amp;l base'!$Q$12/12</f>
        <v>-2500</v>
      </c>
      <c r="L90" s="127">
        <f>'p&amp;l base'!$Q$12/12</f>
        <v>-2500</v>
      </c>
      <c r="M90" s="127">
        <f>'p&amp;l base'!$Q$12/12</f>
        <v>-2500</v>
      </c>
      <c r="N90" s="127">
        <f>'p&amp;l base'!$Q$12/12</f>
        <v>-2500</v>
      </c>
      <c r="O90" s="127">
        <f>'p&amp;l base'!$Q$12/12</f>
        <v>-2500</v>
      </c>
      <c r="P90" s="138">
        <f>'p&amp;l base'!$Q$12/12</f>
        <v>-2500</v>
      </c>
    </row>
    <row r="91" spans="1:16">
      <c r="A91" s="11" t="s">
        <v>54</v>
      </c>
      <c r="B91" s="27" t="s">
        <v>58</v>
      </c>
      <c r="C91" s="27"/>
      <c r="D91" s="27"/>
      <c r="E91" s="127">
        <f>'p&amp;l base'!$Q$13/12</f>
        <v>-250</v>
      </c>
      <c r="F91" s="127">
        <f>'p&amp;l base'!$Q$13/12</f>
        <v>-250</v>
      </c>
      <c r="G91" s="127">
        <f>'p&amp;l base'!$Q$13/12</f>
        <v>-250</v>
      </c>
      <c r="H91" s="127">
        <f>'p&amp;l base'!$Q$13/12</f>
        <v>-250</v>
      </c>
      <c r="I91" s="127">
        <f>'p&amp;l base'!$Q$13/12</f>
        <v>-250</v>
      </c>
      <c r="J91" s="127">
        <f>'p&amp;l base'!$Q$13/12</f>
        <v>-250</v>
      </c>
      <c r="K91" s="127">
        <f>'p&amp;l base'!$Q$13/12</f>
        <v>-250</v>
      </c>
      <c r="L91" s="127">
        <f>'p&amp;l base'!$Q$13/12</f>
        <v>-250</v>
      </c>
      <c r="M91" s="127">
        <f>'p&amp;l base'!$Q$13/12</f>
        <v>-250</v>
      </c>
      <c r="N91" s="127">
        <f>'p&amp;l base'!$Q$13/12</f>
        <v>-250</v>
      </c>
      <c r="O91" s="127">
        <f>'p&amp;l base'!$Q$13/12</f>
        <v>-250</v>
      </c>
      <c r="P91" s="138">
        <f>'p&amp;l base'!$Q$13/12</f>
        <v>-250</v>
      </c>
    </row>
    <row r="92" spans="1:16">
      <c r="A92" s="11" t="s">
        <v>55</v>
      </c>
      <c r="B92" s="27" t="s">
        <v>101</v>
      </c>
      <c r="C92" s="27"/>
      <c r="D92" s="27"/>
      <c r="E92" s="127">
        <f>'p&amp;l base'!$Q$14/12</f>
        <v>-76.429500000000019</v>
      </c>
      <c r="F92" s="127">
        <f>'p&amp;l base'!$Q$14/12</f>
        <v>-76.429500000000019</v>
      </c>
      <c r="G92" s="127">
        <f>'p&amp;l base'!$Q$14/12</f>
        <v>-76.429500000000019</v>
      </c>
      <c r="H92" s="127">
        <f>'p&amp;l base'!$Q$14/12</f>
        <v>-76.429500000000019</v>
      </c>
      <c r="I92" s="127">
        <f>'p&amp;l base'!$Q$14/12</f>
        <v>-76.429500000000019</v>
      </c>
      <c r="J92" s="127">
        <f>'p&amp;l base'!$Q$14/12</f>
        <v>-76.429500000000019</v>
      </c>
      <c r="K92" s="127">
        <f>'p&amp;l base'!$Q$14/12</f>
        <v>-76.429500000000019</v>
      </c>
      <c r="L92" s="127">
        <f>'p&amp;l base'!$Q$14/12</f>
        <v>-76.429500000000019</v>
      </c>
      <c r="M92" s="127">
        <f>'p&amp;l base'!$Q$14/12</f>
        <v>-76.429500000000019</v>
      </c>
      <c r="N92" s="127">
        <f>'p&amp;l base'!$Q$14/12</f>
        <v>-76.429500000000019</v>
      </c>
      <c r="O92" s="127">
        <f>'p&amp;l base'!$Q$14/12</f>
        <v>-76.429500000000019</v>
      </c>
      <c r="P92" s="138">
        <f>'p&amp;l base'!$Q$14/12</f>
        <v>-76.429500000000019</v>
      </c>
    </row>
    <row r="93" spans="1:16">
      <c r="A93" s="11" t="s">
        <v>56</v>
      </c>
      <c r="B93" s="27" t="s">
        <v>60</v>
      </c>
      <c r="C93" s="27"/>
      <c r="D93" s="27"/>
      <c r="E93" s="127">
        <f>'p&amp;l base'!$Q$15/12</f>
        <v>-131.9</v>
      </c>
      <c r="F93" s="127">
        <f>'p&amp;l base'!$Q$15/12</f>
        <v>-131.9</v>
      </c>
      <c r="G93" s="127">
        <f>'p&amp;l base'!$Q$15/12</f>
        <v>-131.9</v>
      </c>
      <c r="H93" s="127">
        <f>'p&amp;l base'!$Q$15/12</f>
        <v>-131.9</v>
      </c>
      <c r="I93" s="127">
        <f>'p&amp;l base'!$Q$15/12</f>
        <v>-131.9</v>
      </c>
      <c r="J93" s="127">
        <f>'p&amp;l base'!$Q$15/12</f>
        <v>-131.9</v>
      </c>
      <c r="K93" s="127">
        <f>'p&amp;l base'!$Q$15/12</f>
        <v>-131.9</v>
      </c>
      <c r="L93" s="127">
        <f>'p&amp;l base'!$Q$15/12</f>
        <v>-131.9</v>
      </c>
      <c r="M93" s="127">
        <f>'p&amp;l base'!$Q$15/12</f>
        <v>-131.9</v>
      </c>
      <c r="N93" s="127">
        <f>'p&amp;l base'!$Q$15/12</f>
        <v>-131.9</v>
      </c>
      <c r="O93" s="127">
        <f>'p&amp;l base'!$Q$15/12</f>
        <v>-131.9</v>
      </c>
      <c r="P93" s="138">
        <f>'p&amp;l base'!$Q$15/12</f>
        <v>-131.9</v>
      </c>
    </row>
    <row r="94" spans="1:16">
      <c r="A94" s="11" t="s">
        <v>105</v>
      </c>
      <c r="B94" s="27" t="s">
        <v>106</v>
      </c>
      <c r="C94" s="27"/>
      <c r="D94" s="27"/>
      <c r="E94" s="123">
        <f>(('p&amp;l base'!$AD$20*'p&amp;l base'!$AD$21)+('p&amp;l base'!$AD$25*'p&amp;l base'!$AD$26))/12*(-1)</f>
        <v>-174</v>
      </c>
      <c r="F94" s="123">
        <f>(('p&amp;l base'!$AD$20*'p&amp;l base'!$AD$21)+('p&amp;l base'!$AD$25*'p&amp;l base'!$AD$26))/12*(-1)</f>
        <v>-174</v>
      </c>
      <c r="G94" s="123">
        <f>(('p&amp;l base'!$AD$20*'p&amp;l base'!$AD$21)+('p&amp;l base'!$AD$25*'p&amp;l base'!$AD$26))/12*(-1)</f>
        <v>-174</v>
      </c>
      <c r="H94" s="123">
        <f>(('p&amp;l base'!$AD$20*'p&amp;l base'!$AD$21)+('p&amp;l base'!$AD$25*'p&amp;l base'!$AD$26))/12*(-1)</f>
        <v>-174</v>
      </c>
      <c r="I94" s="123">
        <f>(('p&amp;l base'!$AD$20*'p&amp;l base'!$AD$21)+('p&amp;l base'!$AD$25*'p&amp;l base'!$AD$26))/12*(-1)</f>
        <v>-174</v>
      </c>
      <c r="J94" s="123">
        <f>(('p&amp;l base'!$AD$20*'p&amp;l base'!$AD$21)+('p&amp;l base'!$AD$25*'p&amp;l base'!$AD$26))/12*(-1)</f>
        <v>-174</v>
      </c>
      <c r="K94" s="123">
        <f>(('p&amp;l base'!$AD$20*'p&amp;l base'!$AD$21)+('p&amp;l base'!$AD$25*'p&amp;l base'!$AD$26))/12*(-1)</f>
        <v>-174</v>
      </c>
      <c r="L94" s="123">
        <f>(('p&amp;l base'!$AD$20*'p&amp;l base'!$AD$21)+('p&amp;l base'!$AD$25*'p&amp;l base'!$AD$26))/12*(-1)</f>
        <v>-174</v>
      </c>
      <c r="M94" s="123">
        <f>(('p&amp;l base'!$AD$20*'p&amp;l base'!$AD$21)+('p&amp;l base'!$AD$25*'p&amp;l base'!$AD$26))/12*(-1)</f>
        <v>-174</v>
      </c>
      <c r="N94" s="123">
        <f>(('p&amp;l base'!$AD$20*'p&amp;l base'!$AD$21)+('p&amp;l base'!$AD$25*'p&amp;l base'!$AD$26))/12*(-1)</f>
        <v>-174</v>
      </c>
      <c r="O94" s="123">
        <f>(('p&amp;l base'!$AD$20*'p&amp;l base'!$AD$21)+('p&amp;l base'!$AD$25*'p&amp;l base'!$AD$26))/12*(-1)</f>
        <v>-174</v>
      </c>
      <c r="P94" s="132">
        <f>(('p&amp;l base'!$AD$20*'p&amp;l base'!$AD$21)+('p&amp;l base'!$AD$25*'p&amp;l base'!$AD$26))/12*(-1)</f>
        <v>-174</v>
      </c>
    </row>
    <row r="95" spans="1:16">
      <c r="A95" s="66" t="s">
        <v>62</v>
      </c>
      <c r="B95" s="64" t="s">
        <v>63</v>
      </c>
      <c r="C95" s="32"/>
      <c r="D95" s="32"/>
      <c r="E95" s="126">
        <f t="shared" ref="E95:F95" si="31">SUM(E88:E94)</f>
        <v>3462.6704999999997</v>
      </c>
      <c r="F95" s="126">
        <f t="shared" si="31"/>
        <v>3462.6704999999997</v>
      </c>
      <c r="G95" s="126">
        <f t="shared" ref="G95" si="32">SUM(G88:G94)</f>
        <v>3462.6704999999997</v>
      </c>
      <c r="H95" s="126">
        <f t="shared" ref="H95" si="33">SUM(H88:H94)</f>
        <v>3462.6704999999997</v>
      </c>
      <c r="I95" s="126">
        <f t="shared" ref="I95" si="34">SUM(I88:I94)</f>
        <v>3462.6704999999997</v>
      </c>
      <c r="J95" s="126">
        <f t="shared" ref="J95" si="35">SUM(J88:J94)</f>
        <v>3462.6704999999997</v>
      </c>
      <c r="K95" s="126">
        <f t="shared" ref="K95" si="36">SUM(K88:K94)</f>
        <v>3462.6704999999997</v>
      </c>
      <c r="L95" s="126">
        <f t="shared" ref="L95" si="37">SUM(L88:L94)</f>
        <v>3462.6704999999997</v>
      </c>
      <c r="M95" s="126">
        <f t="shared" ref="M95" si="38">SUM(M88:M94)</f>
        <v>3462.6704999999997</v>
      </c>
      <c r="N95" s="126">
        <f t="shared" ref="N95" si="39">SUM(N88:N94)</f>
        <v>3462.6704999999997</v>
      </c>
      <c r="O95" s="126">
        <f t="shared" ref="O95" si="40">SUM(O88:O94)</f>
        <v>3462.6704999999997</v>
      </c>
      <c r="P95" s="135">
        <f t="shared" ref="P95" si="41">SUM(P88:P94)</f>
        <v>3462.6704999999997</v>
      </c>
    </row>
    <row r="96" spans="1:16">
      <c r="A96" s="11" t="s">
        <v>65</v>
      </c>
      <c r="B96" s="27" t="s">
        <v>64</v>
      </c>
      <c r="C96" s="27"/>
      <c r="D96" s="27"/>
      <c r="E96" s="123">
        <f>(('p&amp;l base'!$AD$3)+('p&amp;l base'!$AD$14*2)+('p&amp;l base'!$AD$7*'p&amp;l base'!$AD$8)+('p&amp;l base'!$AD$10*'p&amp;l base'!$AD$11))/12*(-1)</f>
        <v>-65.25</v>
      </c>
      <c r="F96" s="123">
        <f>(('p&amp;l base'!$AD$3)+('p&amp;l base'!$AD$14*2)+('p&amp;l base'!$AD$7*'p&amp;l base'!$AD$8)+('p&amp;l base'!$AD$10*'p&amp;l base'!$AD$11))/12*(-1)</f>
        <v>-65.25</v>
      </c>
      <c r="G96" s="123">
        <f>(('p&amp;l base'!$AD$3)+('p&amp;l base'!$AD$14*2)+('p&amp;l base'!$AD$7*'p&amp;l base'!$AD$8)+('p&amp;l base'!$AD$10*'p&amp;l base'!$AD$11))/12*(-1)</f>
        <v>-65.25</v>
      </c>
      <c r="H96" s="123">
        <f>(('p&amp;l base'!$AD$3)+('p&amp;l base'!$AD$14*2)+('p&amp;l base'!$AD$7*'p&amp;l base'!$AD$8)+('p&amp;l base'!$AD$10*'p&amp;l base'!$AD$11))/12*(-1)</f>
        <v>-65.25</v>
      </c>
      <c r="I96" s="123">
        <f>(('p&amp;l base'!$AD$3)+('p&amp;l base'!$AD$14*2)+('p&amp;l base'!$AD$7*'p&amp;l base'!$AD$8)+('p&amp;l base'!$AD$10*'p&amp;l base'!$AD$11))/12*(-1)</f>
        <v>-65.25</v>
      </c>
      <c r="J96" s="123">
        <f>(('p&amp;l base'!$AD$3)+('p&amp;l base'!$AD$14*2)+('p&amp;l base'!$AD$7*'p&amp;l base'!$AD$8)+('p&amp;l base'!$AD$10*'p&amp;l base'!$AD$11))/12*(-1)</f>
        <v>-65.25</v>
      </c>
      <c r="K96" s="123">
        <f>(('p&amp;l base'!$AD$3)+('p&amp;l base'!$AD$14*2)+('p&amp;l base'!$AD$7*'p&amp;l base'!$AD$8)+('p&amp;l base'!$AD$10*'p&amp;l base'!$AD$11))/12*(-1)</f>
        <v>-65.25</v>
      </c>
      <c r="L96" s="123">
        <f>(('p&amp;l base'!$AD$3)+('p&amp;l base'!$AD$14*2)+('p&amp;l base'!$AD$7*'p&amp;l base'!$AD$8)+('p&amp;l base'!$AD$10*'p&amp;l base'!$AD$11))/12*(-1)</f>
        <v>-65.25</v>
      </c>
      <c r="M96" s="123">
        <f>(('p&amp;l base'!$AD$3)+('p&amp;l base'!$AD$14*2)+('p&amp;l base'!$AD$7*'p&amp;l base'!$AD$8)+('p&amp;l base'!$AD$10*'p&amp;l base'!$AD$11))/12*(-1)</f>
        <v>-65.25</v>
      </c>
      <c r="N96" s="123">
        <f>(('p&amp;l base'!$AD$3)+('p&amp;l base'!$AD$14*2)+('p&amp;l base'!$AD$7*'p&amp;l base'!$AD$8)+('p&amp;l base'!$AD$10*'p&amp;l base'!$AD$11))/12*(-1)</f>
        <v>-65.25</v>
      </c>
      <c r="O96" s="123">
        <f>(('p&amp;l base'!$AD$3)+('p&amp;l base'!$AD$14*2)+('p&amp;l base'!$AD$7*'p&amp;l base'!$AD$8)+('p&amp;l base'!$AD$10*'p&amp;l base'!$AD$11))/12*(-1)</f>
        <v>-65.25</v>
      </c>
      <c r="P96" s="132">
        <f>(('p&amp;l base'!$AD$3)+('p&amp;l base'!$AD$14*2)+('p&amp;l base'!$AD$7*'p&amp;l base'!$AD$8)+('p&amp;l base'!$AD$10*'p&amp;l base'!$AD$11))/12*(-1)</f>
        <v>-65.25</v>
      </c>
    </row>
    <row r="97" spans="1:16">
      <c r="A97" s="11" t="s">
        <v>66</v>
      </c>
      <c r="B97" s="27" t="s">
        <v>107</v>
      </c>
      <c r="C97" s="27"/>
      <c r="D97" s="27"/>
      <c r="E97" s="123">
        <f>'p&amp;l base'!$K$19/12</f>
        <v>-165.14041514041514</v>
      </c>
      <c r="F97" s="123">
        <f>'p&amp;l base'!$K$19/12</f>
        <v>-165.14041514041514</v>
      </c>
      <c r="G97" s="123">
        <f>'p&amp;l base'!$K$19/12</f>
        <v>-165.14041514041514</v>
      </c>
      <c r="H97" s="123">
        <f>'p&amp;l base'!$K$19/12</f>
        <v>-165.14041514041514</v>
      </c>
      <c r="I97" s="123">
        <f>'p&amp;l base'!$K$19/12</f>
        <v>-165.14041514041514</v>
      </c>
      <c r="J97" s="123">
        <f>'p&amp;l base'!$K$19/12</f>
        <v>-165.14041514041514</v>
      </c>
      <c r="K97" s="123">
        <f>'p&amp;l base'!$K$19/12</f>
        <v>-165.14041514041514</v>
      </c>
      <c r="L97" s="123">
        <f>'p&amp;l base'!$K$19/12</f>
        <v>-165.14041514041514</v>
      </c>
      <c r="M97" s="123">
        <f>'p&amp;l base'!$K$19/12</f>
        <v>-165.14041514041514</v>
      </c>
      <c r="N97" s="123">
        <f>'p&amp;l base'!$K$19/12</f>
        <v>-165.14041514041514</v>
      </c>
      <c r="O97" s="123">
        <f>'p&amp;l base'!$K$19/12</f>
        <v>-165.14041514041514</v>
      </c>
      <c r="P97" s="132">
        <f>'p&amp;l base'!$K$19/12</f>
        <v>-165.14041514041514</v>
      </c>
    </row>
    <row r="98" spans="1:16">
      <c r="A98" s="11" t="s">
        <v>67</v>
      </c>
      <c r="B98" s="27" t="s">
        <v>68</v>
      </c>
      <c r="C98" s="27"/>
      <c r="D98" s="27"/>
      <c r="E98" s="127">
        <f>'p&amp;l base'!$Q$20/12</f>
        <v>-263.8</v>
      </c>
      <c r="F98" s="127">
        <f>'p&amp;l base'!$Q$20/12</f>
        <v>-263.8</v>
      </c>
      <c r="G98" s="127">
        <f>'p&amp;l base'!$Q$20/12</f>
        <v>-263.8</v>
      </c>
      <c r="H98" s="127">
        <f>'p&amp;l base'!$Q$20/12</f>
        <v>-263.8</v>
      </c>
      <c r="I98" s="127">
        <f>'p&amp;l base'!$Q$20/12</f>
        <v>-263.8</v>
      </c>
      <c r="J98" s="127">
        <f>'p&amp;l base'!$Q$20/12</f>
        <v>-263.8</v>
      </c>
      <c r="K98" s="127">
        <f>'p&amp;l base'!$Q$20/12</f>
        <v>-263.8</v>
      </c>
      <c r="L98" s="127">
        <f>'p&amp;l base'!$Q$20/12</f>
        <v>-263.8</v>
      </c>
      <c r="M98" s="127">
        <f>'p&amp;l base'!$Q$20/12</f>
        <v>-263.8</v>
      </c>
      <c r="N98" s="127">
        <f>'p&amp;l base'!$Q$20/12</f>
        <v>-263.8</v>
      </c>
      <c r="O98" s="127">
        <f>'p&amp;l base'!$Q$20/12</f>
        <v>-263.8</v>
      </c>
      <c r="P98" s="138">
        <f>'p&amp;l base'!$Q$20/12</f>
        <v>-263.8</v>
      </c>
    </row>
    <row r="99" spans="1:16">
      <c r="A99" s="11" t="s">
        <v>53</v>
      </c>
      <c r="B99" s="27" t="s">
        <v>69</v>
      </c>
      <c r="C99" s="27"/>
      <c r="D99" s="27"/>
      <c r="E99" s="127">
        <f>'p&amp;l base'!$Q$21/12</f>
        <v>-263.8</v>
      </c>
      <c r="F99" s="127">
        <f>'p&amp;l base'!$Q$21/12</f>
        <v>-263.8</v>
      </c>
      <c r="G99" s="127">
        <f>'p&amp;l base'!$Q$21/12</f>
        <v>-263.8</v>
      </c>
      <c r="H99" s="127">
        <f>'p&amp;l base'!$Q$21/12</f>
        <v>-263.8</v>
      </c>
      <c r="I99" s="127">
        <f>'p&amp;l base'!$Q$21/12</f>
        <v>-263.8</v>
      </c>
      <c r="J99" s="127">
        <f>'p&amp;l base'!$Q$21/12</f>
        <v>-263.8</v>
      </c>
      <c r="K99" s="127">
        <f>'p&amp;l base'!$Q$21/12</f>
        <v>-263.8</v>
      </c>
      <c r="L99" s="127">
        <f>'p&amp;l base'!$Q$21/12</f>
        <v>-263.8</v>
      </c>
      <c r="M99" s="127">
        <f>'p&amp;l base'!$Q$21/12</f>
        <v>-263.8</v>
      </c>
      <c r="N99" s="127">
        <f>'p&amp;l base'!$Q$21/12</f>
        <v>-263.8</v>
      </c>
      <c r="O99" s="127">
        <f>'p&amp;l base'!$Q$21/12</f>
        <v>-263.8</v>
      </c>
      <c r="P99" s="138">
        <f>'p&amp;l base'!$Q$21/12</f>
        <v>-263.8</v>
      </c>
    </row>
    <row r="100" spans="1:16">
      <c r="A100" s="66" t="s">
        <v>70</v>
      </c>
      <c r="B100" s="64" t="s">
        <v>71</v>
      </c>
      <c r="C100" s="32"/>
      <c r="D100" s="32"/>
      <c r="E100" s="126">
        <f>SUM(E95:E99)</f>
        <v>2704.680084859584</v>
      </c>
      <c r="F100" s="126">
        <f t="shared" ref="F100:P100" si="42">SUM(F95:F99)</f>
        <v>2704.680084859584</v>
      </c>
      <c r="G100" s="126">
        <f t="shared" si="42"/>
        <v>2704.680084859584</v>
      </c>
      <c r="H100" s="126">
        <f t="shared" si="42"/>
        <v>2704.680084859584</v>
      </c>
      <c r="I100" s="126">
        <f t="shared" si="42"/>
        <v>2704.680084859584</v>
      </c>
      <c r="J100" s="126">
        <f t="shared" si="42"/>
        <v>2704.680084859584</v>
      </c>
      <c r="K100" s="126">
        <f t="shared" si="42"/>
        <v>2704.680084859584</v>
      </c>
      <c r="L100" s="126">
        <f t="shared" si="42"/>
        <v>2704.680084859584</v>
      </c>
      <c r="M100" s="126">
        <f t="shared" si="42"/>
        <v>2704.680084859584</v>
      </c>
      <c r="N100" s="126">
        <f t="shared" si="42"/>
        <v>2704.680084859584</v>
      </c>
      <c r="O100" s="126">
        <f t="shared" si="42"/>
        <v>2704.680084859584</v>
      </c>
      <c r="P100" s="135">
        <f t="shared" si="42"/>
        <v>2704.680084859584</v>
      </c>
    </row>
    <row r="101" spans="1:16">
      <c r="A101" s="11" t="s">
        <v>72</v>
      </c>
      <c r="B101" s="27" t="s">
        <v>73</v>
      </c>
      <c r="C101" s="27"/>
      <c r="D101" s="27"/>
      <c r="E101" s="127"/>
      <c r="F101" s="127"/>
      <c r="G101" s="123"/>
      <c r="H101" s="123"/>
      <c r="I101" s="123"/>
      <c r="J101" s="123"/>
      <c r="K101" s="123"/>
      <c r="L101" s="123"/>
      <c r="M101" s="123"/>
      <c r="N101" s="123"/>
      <c r="O101" s="123"/>
      <c r="P101" s="132"/>
    </row>
    <row r="102" spans="1:16">
      <c r="A102" s="11" t="s">
        <v>74</v>
      </c>
      <c r="B102" s="27" t="s">
        <v>25</v>
      </c>
      <c r="C102" s="27"/>
      <c r="D102" s="27"/>
      <c r="E102" s="127">
        <f>'p&amp;l base'!$Q$24/12</f>
        <v>-186.68638886333335</v>
      </c>
      <c r="F102" s="127">
        <f>'p&amp;l base'!$Q$24/12</f>
        <v>-186.68638886333335</v>
      </c>
      <c r="G102" s="127">
        <f>'p&amp;l base'!$Q$24/12</f>
        <v>-186.68638886333335</v>
      </c>
      <c r="H102" s="127">
        <f>'p&amp;l base'!$Q$24/12</f>
        <v>-186.68638886333335</v>
      </c>
      <c r="I102" s="127">
        <f>'p&amp;l base'!$Q$24/12</f>
        <v>-186.68638886333335</v>
      </c>
      <c r="J102" s="127">
        <f>'p&amp;l base'!$Q$24/12</f>
        <v>-186.68638886333335</v>
      </c>
      <c r="K102" s="127">
        <f>'p&amp;l base'!$Q$24/12</f>
        <v>-186.68638886333335</v>
      </c>
      <c r="L102" s="127">
        <f>'p&amp;l base'!$Q$24/12</f>
        <v>-186.68638886333335</v>
      </c>
      <c r="M102" s="127">
        <f>'p&amp;l base'!$Q$24/12</f>
        <v>-186.68638886333335</v>
      </c>
      <c r="N102" s="127">
        <f>'p&amp;l base'!$Q$24/12</f>
        <v>-186.68638886333335</v>
      </c>
      <c r="O102" s="127">
        <f>'p&amp;l base'!$Q$24/12</f>
        <v>-186.68638886333335</v>
      </c>
      <c r="P102" s="138">
        <f>'p&amp;l base'!$Q$24/12</f>
        <v>-186.68638886333335</v>
      </c>
    </row>
    <row r="103" spans="1:16">
      <c r="A103" s="11" t="s">
        <v>76</v>
      </c>
      <c r="B103" s="27" t="s">
        <v>77</v>
      </c>
      <c r="C103" s="27"/>
      <c r="D103" s="27"/>
      <c r="E103" s="127"/>
      <c r="F103" s="127"/>
      <c r="G103" s="123"/>
      <c r="H103" s="123"/>
      <c r="I103" s="123"/>
      <c r="J103" s="123"/>
      <c r="K103" s="123"/>
      <c r="L103" s="123"/>
      <c r="M103" s="123"/>
      <c r="N103" s="123"/>
      <c r="O103" s="123"/>
      <c r="P103" s="132"/>
    </row>
    <row r="104" spans="1:16">
      <c r="A104" s="66" t="s">
        <v>78</v>
      </c>
      <c r="B104" s="64" t="s">
        <v>79</v>
      </c>
      <c r="C104" s="32"/>
      <c r="D104" s="32"/>
      <c r="E104" s="126">
        <f>SUM(E100:E103)</f>
        <v>2517.9936959962506</v>
      </c>
      <c r="F104" s="126">
        <f t="shared" ref="F104:P104" si="43">SUM(F100:F103)</f>
        <v>2517.9936959962506</v>
      </c>
      <c r="G104" s="126">
        <f t="shared" si="43"/>
        <v>2517.9936959962506</v>
      </c>
      <c r="H104" s="126">
        <f t="shared" si="43"/>
        <v>2517.9936959962506</v>
      </c>
      <c r="I104" s="126">
        <f t="shared" si="43"/>
        <v>2517.9936959962506</v>
      </c>
      <c r="J104" s="126">
        <f t="shared" si="43"/>
        <v>2517.9936959962506</v>
      </c>
      <c r="K104" s="126">
        <f t="shared" si="43"/>
        <v>2517.9936959962506</v>
      </c>
      <c r="L104" s="126">
        <f t="shared" si="43"/>
        <v>2517.9936959962506</v>
      </c>
      <c r="M104" s="126">
        <f t="shared" si="43"/>
        <v>2517.9936959962506</v>
      </c>
      <c r="N104" s="126">
        <f t="shared" si="43"/>
        <v>2517.9936959962506</v>
      </c>
      <c r="O104" s="126">
        <f t="shared" si="43"/>
        <v>2517.9936959962506</v>
      </c>
      <c r="P104" s="135">
        <f t="shared" si="43"/>
        <v>2517.9936959962506</v>
      </c>
    </row>
    <row r="105" spans="1:16">
      <c r="A105" s="11" t="s">
        <v>80</v>
      </c>
      <c r="B105" s="27" t="s">
        <v>81</v>
      </c>
      <c r="C105" s="27"/>
      <c r="D105" s="27"/>
      <c r="E105" s="123">
        <f>'p&amp;l base'!$E$27*'cash flow monthly'!E104*(-1)</f>
        <v>-705.03823487895022</v>
      </c>
      <c r="F105" s="123">
        <f>'p&amp;l base'!$E$27*'cash flow monthly'!F104*(-1)</f>
        <v>-705.03823487895022</v>
      </c>
      <c r="G105" s="123">
        <f>'p&amp;l base'!$E$27*'cash flow monthly'!G104*(-1)</f>
        <v>-705.03823487895022</v>
      </c>
      <c r="H105" s="123">
        <f>'p&amp;l base'!$E$27*'cash flow monthly'!H104*(-1)</f>
        <v>-705.03823487895022</v>
      </c>
      <c r="I105" s="123">
        <f>'p&amp;l base'!$E$27*'cash flow monthly'!I104*(-1)</f>
        <v>-705.03823487895022</v>
      </c>
      <c r="J105" s="123">
        <f>'p&amp;l base'!$E$27*'cash flow monthly'!J104*(-1)</f>
        <v>-705.03823487895022</v>
      </c>
      <c r="K105" s="123">
        <f>'p&amp;l base'!$E$27*'cash flow monthly'!K104*(-1)</f>
        <v>-705.03823487895022</v>
      </c>
      <c r="L105" s="123">
        <f>'p&amp;l base'!$E$27*'cash flow monthly'!L104*(-1)</f>
        <v>-705.03823487895022</v>
      </c>
      <c r="M105" s="123">
        <f>'p&amp;l base'!$E$27*'cash flow monthly'!M104*(-1)</f>
        <v>-705.03823487895022</v>
      </c>
      <c r="N105" s="123">
        <f>'p&amp;l base'!$E$27*'cash flow monthly'!N104*(-1)</f>
        <v>-705.03823487895022</v>
      </c>
      <c r="O105" s="123">
        <f>'p&amp;l base'!$E$27*'cash flow monthly'!O104*(-1)</f>
        <v>-705.03823487895022</v>
      </c>
      <c r="P105" s="132">
        <f>'p&amp;l base'!$E$27*'cash flow monthly'!P104*(-1)</f>
        <v>-705.03823487895022</v>
      </c>
    </row>
    <row r="106" spans="1:16">
      <c r="A106" s="66" t="s">
        <v>82</v>
      </c>
      <c r="B106" s="64" t="s">
        <v>83</v>
      </c>
      <c r="C106" s="32"/>
      <c r="D106" s="32"/>
      <c r="E106" s="126">
        <f>SUM(E104:E105)</f>
        <v>1812.9554611173003</v>
      </c>
      <c r="F106" s="126">
        <f t="shared" ref="F106:P106" si="44">SUM(F104:F105)</f>
        <v>1812.9554611173003</v>
      </c>
      <c r="G106" s="126">
        <f t="shared" si="44"/>
        <v>1812.9554611173003</v>
      </c>
      <c r="H106" s="126">
        <f t="shared" si="44"/>
        <v>1812.9554611173003</v>
      </c>
      <c r="I106" s="126">
        <f t="shared" si="44"/>
        <v>1812.9554611173003</v>
      </c>
      <c r="J106" s="126">
        <f t="shared" si="44"/>
        <v>1812.9554611173003</v>
      </c>
      <c r="K106" s="126">
        <f t="shared" si="44"/>
        <v>1812.9554611173003</v>
      </c>
      <c r="L106" s="126">
        <f t="shared" si="44"/>
        <v>1812.9554611173003</v>
      </c>
      <c r="M106" s="126">
        <f t="shared" si="44"/>
        <v>1812.9554611173003</v>
      </c>
      <c r="N106" s="126">
        <f t="shared" si="44"/>
        <v>1812.9554611173003</v>
      </c>
      <c r="O106" s="126">
        <f t="shared" si="44"/>
        <v>1812.9554611173003</v>
      </c>
      <c r="P106" s="135">
        <f t="shared" si="44"/>
        <v>1812.9554611173003</v>
      </c>
    </row>
    <row r="107" spans="1:16">
      <c r="A107" s="11" t="s">
        <v>84</v>
      </c>
      <c r="B107" s="82" t="s">
        <v>85</v>
      </c>
      <c r="C107" s="27"/>
      <c r="D107" s="27"/>
      <c r="E107" s="127">
        <f t="shared" ref="E107:P107" si="45">E97*(-1)</f>
        <v>165.14041514041514</v>
      </c>
      <c r="F107" s="127">
        <f t="shared" si="45"/>
        <v>165.14041514041514</v>
      </c>
      <c r="G107" s="127">
        <f t="shared" si="45"/>
        <v>165.14041514041514</v>
      </c>
      <c r="H107" s="127">
        <f t="shared" si="45"/>
        <v>165.14041514041514</v>
      </c>
      <c r="I107" s="127">
        <f t="shared" si="45"/>
        <v>165.14041514041514</v>
      </c>
      <c r="J107" s="127">
        <f t="shared" si="45"/>
        <v>165.14041514041514</v>
      </c>
      <c r="K107" s="127">
        <f t="shared" si="45"/>
        <v>165.14041514041514</v>
      </c>
      <c r="L107" s="127">
        <f t="shared" si="45"/>
        <v>165.14041514041514</v>
      </c>
      <c r="M107" s="127">
        <f t="shared" si="45"/>
        <v>165.14041514041514</v>
      </c>
      <c r="N107" s="127">
        <f t="shared" si="45"/>
        <v>165.14041514041514</v>
      </c>
      <c r="O107" s="127">
        <f t="shared" si="45"/>
        <v>165.14041514041514</v>
      </c>
      <c r="P107" s="138">
        <f t="shared" si="45"/>
        <v>165.14041514041514</v>
      </c>
    </row>
    <row r="108" spans="1:16" ht="17" thickBot="1">
      <c r="A108" s="86" t="s">
        <v>86</v>
      </c>
      <c r="B108" s="87" t="s">
        <v>87</v>
      </c>
      <c r="C108" s="103"/>
      <c r="D108" s="103"/>
      <c r="E108" s="136">
        <f>SUM(E106:E107)</f>
        <v>1978.0958762577154</v>
      </c>
      <c r="F108" s="136">
        <f t="shared" ref="F108:P108" si="46">SUM(F106:F107)</f>
        <v>1978.0958762577154</v>
      </c>
      <c r="G108" s="136">
        <f t="shared" si="46"/>
        <v>1978.0958762577154</v>
      </c>
      <c r="H108" s="136">
        <f t="shared" si="46"/>
        <v>1978.0958762577154</v>
      </c>
      <c r="I108" s="136">
        <f t="shared" si="46"/>
        <v>1978.0958762577154</v>
      </c>
      <c r="J108" s="136">
        <f t="shared" si="46"/>
        <v>1978.0958762577154</v>
      </c>
      <c r="K108" s="136">
        <f t="shared" si="46"/>
        <v>1978.0958762577154</v>
      </c>
      <c r="L108" s="136">
        <f t="shared" si="46"/>
        <v>1978.0958762577154</v>
      </c>
      <c r="M108" s="136">
        <f t="shared" si="46"/>
        <v>1978.0958762577154</v>
      </c>
      <c r="N108" s="136">
        <f t="shared" si="46"/>
        <v>1978.0958762577154</v>
      </c>
      <c r="O108" s="136">
        <f t="shared" si="46"/>
        <v>1978.0958762577154</v>
      </c>
      <c r="P108" s="137">
        <f t="shared" si="46"/>
        <v>1978.0958762577154</v>
      </c>
    </row>
    <row r="109" spans="1:16">
      <c r="A109" s="159" t="s">
        <v>117</v>
      </c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1"/>
    </row>
    <row r="110" spans="1:16">
      <c r="A110" s="11"/>
      <c r="B110" s="117" t="s">
        <v>109</v>
      </c>
      <c r="C110" s="27"/>
      <c r="D110" s="27"/>
      <c r="E110" s="139">
        <v>17899</v>
      </c>
      <c r="F110" s="139">
        <v>18295</v>
      </c>
      <c r="G110" s="139">
        <v>18688</v>
      </c>
      <c r="H110" s="139">
        <v>19085</v>
      </c>
      <c r="I110" s="139">
        <v>19480</v>
      </c>
      <c r="J110" s="139">
        <v>19876</v>
      </c>
      <c r="K110" s="139">
        <v>20271</v>
      </c>
      <c r="L110" s="139">
        <v>20668</v>
      </c>
      <c r="M110" s="139">
        <v>21064</v>
      </c>
      <c r="N110" s="139">
        <v>21459</v>
      </c>
      <c r="O110" s="139">
        <v>21855</v>
      </c>
      <c r="P110" s="140">
        <v>22251</v>
      </c>
    </row>
    <row r="111" spans="1:16">
      <c r="A111" s="18" t="s">
        <v>42</v>
      </c>
      <c r="B111" s="64" t="s">
        <v>114</v>
      </c>
      <c r="C111" s="32"/>
      <c r="D111" s="32"/>
      <c r="E111" s="122">
        <f>'p&amp;l base'!$Q$6/12</f>
        <v>6250</v>
      </c>
      <c r="F111" s="122">
        <f>'p&amp;l base'!$Q$6/12</f>
        <v>6250</v>
      </c>
      <c r="G111" s="122">
        <f>'p&amp;l base'!$Q$6/12</f>
        <v>6250</v>
      </c>
      <c r="H111" s="122">
        <f>'p&amp;l base'!$Q$6/12</f>
        <v>6250</v>
      </c>
      <c r="I111" s="122">
        <f>'p&amp;l base'!$Q$6/12</f>
        <v>6250</v>
      </c>
      <c r="J111" s="122">
        <f>'p&amp;l base'!$Q$6/12</f>
        <v>6250</v>
      </c>
      <c r="K111" s="122">
        <f>'p&amp;l base'!$Q$6/12</f>
        <v>6250</v>
      </c>
      <c r="L111" s="122">
        <f>'p&amp;l base'!$Q$6/12</f>
        <v>6250</v>
      </c>
      <c r="M111" s="122">
        <f>'p&amp;l base'!$Q$6/12</f>
        <v>6250</v>
      </c>
      <c r="N111" s="122">
        <f>'p&amp;l base'!$Q$6/12</f>
        <v>6250</v>
      </c>
      <c r="O111" s="122">
        <f>'p&amp;l base'!$Q$6/12</f>
        <v>6250</v>
      </c>
      <c r="P111" s="131">
        <f>'p&amp;l base'!$Q$6/12</f>
        <v>6250</v>
      </c>
    </row>
    <row r="112" spans="1:16">
      <c r="A112" s="11" t="s">
        <v>43</v>
      </c>
      <c r="B112" s="27" t="s">
        <v>110</v>
      </c>
      <c r="C112" s="27"/>
      <c r="D112" s="27"/>
      <c r="E112" s="125">
        <f>'p&amp;l base'!$Q$7/12</f>
        <v>320</v>
      </c>
      <c r="F112" s="125">
        <f>'p&amp;l base'!$Q$7/12</f>
        <v>320</v>
      </c>
      <c r="G112" s="125">
        <f>'p&amp;l base'!$Q$7/12</f>
        <v>320</v>
      </c>
      <c r="H112" s="125">
        <f>'p&amp;l base'!$Q$7/12</f>
        <v>320</v>
      </c>
      <c r="I112" s="125">
        <f>'p&amp;l base'!$Q$7/12</f>
        <v>320</v>
      </c>
      <c r="J112" s="125">
        <f>'p&amp;l base'!$Q$7/12</f>
        <v>320</v>
      </c>
      <c r="K112" s="125">
        <f>'p&amp;l base'!$Q$7/12</f>
        <v>320</v>
      </c>
      <c r="L112" s="125">
        <f>'p&amp;l base'!$Q$7/12</f>
        <v>320</v>
      </c>
      <c r="M112" s="125">
        <f>'p&amp;l base'!$Q$7/12</f>
        <v>320</v>
      </c>
      <c r="N112" s="125">
        <f>'p&amp;l base'!$Q$7/12</f>
        <v>320</v>
      </c>
      <c r="O112" s="125">
        <f>'p&amp;l base'!$Q$7/12</f>
        <v>320</v>
      </c>
      <c r="P112" s="134">
        <f>'p&amp;l base'!$Q$7/12</f>
        <v>320</v>
      </c>
    </row>
    <row r="113" spans="1:16">
      <c r="A113" s="11" t="s">
        <v>44</v>
      </c>
      <c r="B113" s="27" t="s">
        <v>144</v>
      </c>
      <c r="C113" s="27"/>
      <c r="D113" s="27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34"/>
    </row>
    <row r="114" spans="1:16">
      <c r="A114" s="18" t="s">
        <v>47</v>
      </c>
      <c r="B114" s="32" t="s">
        <v>50</v>
      </c>
      <c r="C114" s="32"/>
      <c r="D114" s="32"/>
      <c r="E114" s="125">
        <f>'p&amp;l base'!$Q$9/12</f>
        <v>25</v>
      </c>
      <c r="F114" s="125">
        <f>'p&amp;l base'!$Q$9/12</f>
        <v>25</v>
      </c>
      <c r="G114" s="125">
        <f>'p&amp;l base'!$Q$9/12</f>
        <v>25</v>
      </c>
      <c r="H114" s="125">
        <f>'p&amp;l base'!$Q$9/12</f>
        <v>25</v>
      </c>
      <c r="I114" s="125">
        <f>'p&amp;l base'!$Q$9/12</f>
        <v>25</v>
      </c>
      <c r="J114" s="125">
        <f>'p&amp;l base'!$Q$9/12</f>
        <v>25</v>
      </c>
      <c r="K114" s="125">
        <f>'p&amp;l base'!$Q$9/12</f>
        <v>25</v>
      </c>
      <c r="L114" s="125">
        <f>'p&amp;l base'!$Q$9/12</f>
        <v>25</v>
      </c>
      <c r="M114" s="125">
        <f>'p&amp;l base'!$Q$9/12</f>
        <v>25</v>
      </c>
      <c r="N114" s="125">
        <f>'p&amp;l base'!$Q$9/12</f>
        <v>25</v>
      </c>
      <c r="O114" s="125">
        <f>'p&amp;l base'!$Q$9/12</f>
        <v>25</v>
      </c>
      <c r="P114" s="134">
        <f>'p&amp;l base'!$Q$9/12</f>
        <v>25</v>
      </c>
    </row>
    <row r="115" spans="1:16">
      <c r="A115" s="66" t="s">
        <v>48</v>
      </c>
      <c r="B115" s="64" t="s">
        <v>51</v>
      </c>
      <c r="C115" s="32"/>
      <c r="D115" s="32"/>
      <c r="E115" s="122">
        <f t="shared" ref="E115" si="47">SUM(E111:E114)</f>
        <v>6595</v>
      </c>
      <c r="F115" s="122">
        <f t="shared" ref="F115" si="48">SUM(F111:F114)</f>
        <v>6595</v>
      </c>
      <c r="G115" s="122">
        <f t="shared" ref="G115" si="49">SUM(G111:G114)</f>
        <v>6595</v>
      </c>
      <c r="H115" s="122">
        <f t="shared" ref="H115" si="50">SUM(H111:H114)</f>
        <v>6595</v>
      </c>
      <c r="I115" s="122">
        <f t="shared" ref="I115" si="51">SUM(I111:I114)</f>
        <v>6595</v>
      </c>
      <c r="J115" s="122">
        <f t="shared" ref="J115" si="52">SUM(J111:J114)</f>
        <v>6595</v>
      </c>
      <c r="K115" s="122">
        <f t="shared" ref="K115" si="53">SUM(K111:K114)</f>
        <v>6595</v>
      </c>
      <c r="L115" s="122">
        <f t="shared" ref="L115" si="54">SUM(L111:L114)</f>
        <v>6595</v>
      </c>
      <c r="M115" s="122">
        <f t="shared" ref="M115" si="55">SUM(M111:M114)</f>
        <v>6595</v>
      </c>
      <c r="N115" s="122">
        <f t="shared" ref="N115" si="56">SUM(N111:N114)</f>
        <v>6595</v>
      </c>
      <c r="O115" s="122">
        <f t="shared" ref="O115" si="57">SUM(O111:O114)</f>
        <v>6595</v>
      </c>
      <c r="P115" s="131">
        <f t="shared" ref="P115" si="58">SUM(P111:P114)</f>
        <v>6595</v>
      </c>
    </row>
    <row r="116" spans="1:16">
      <c r="A116" s="11" t="s">
        <v>49</v>
      </c>
      <c r="B116" s="27" t="s">
        <v>52</v>
      </c>
      <c r="C116" s="27"/>
      <c r="D116" s="27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33"/>
    </row>
    <row r="117" spans="1:16" ht="19">
      <c r="A117" s="11" t="s">
        <v>53</v>
      </c>
      <c r="B117" s="27" t="s">
        <v>89</v>
      </c>
      <c r="C117" s="27"/>
      <c r="D117" s="27"/>
      <c r="E117" s="127">
        <f>'p&amp;l base'!$Q$12/12</f>
        <v>-2500</v>
      </c>
      <c r="F117" s="127">
        <f>'p&amp;l base'!$Q$12/12</f>
        <v>-2500</v>
      </c>
      <c r="G117" s="127">
        <f>'p&amp;l base'!$Q$12/12</f>
        <v>-2500</v>
      </c>
      <c r="H117" s="127">
        <f>'p&amp;l base'!$Q$12/12</f>
        <v>-2500</v>
      </c>
      <c r="I117" s="127">
        <f>'p&amp;l base'!$Q$12/12</f>
        <v>-2500</v>
      </c>
      <c r="J117" s="127">
        <f>'p&amp;l base'!$Q$12/12</f>
        <v>-2500</v>
      </c>
      <c r="K117" s="127">
        <f>'p&amp;l base'!$Q$12/12</f>
        <v>-2500</v>
      </c>
      <c r="L117" s="127">
        <f>'p&amp;l base'!$Q$12/12</f>
        <v>-2500</v>
      </c>
      <c r="M117" s="127">
        <f>'p&amp;l base'!$Q$12/12</f>
        <v>-2500</v>
      </c>
      <c r="N117" s="127">
        <f>'p&amp;l base'!$Q$12/12</f>
        <v>-2500</v>
      </c>
      <c r="O117" s="127">
        <f>'p&amp;l base'!$Q$12/12</f>
        <v>-2500</v>
      </c>
      <c r="P117" s="138">
        <f>'p&amp;l base'!$Q$12/12</f>
        <v>-2500</v>
      </c>
    </row>
    <row r="118" spans="1:16">
      <c r="A118" s="11" t="s">
        <v>54</v>
      </c>
      <c r="B118" s="27" t="s">
        <v>58</v>
      </c>
      <c r="C118" s="27"/>
      <c r="D118" s="27"/>
      <c r="E118" s="127">
        <f>'p&amp;l base'!$Q$13/12</f>
        <v>-250</v>
      </c>
      <c r="F118" s="127">
        <f>'p&amp;l base'!$Q$13/12</f>
        <v>-250</v>
      </c>
      <c r="G118" s="127">
        <f>'p&amp;l base'!$Q$13/12</f>
        <v>-250</v>
      </c>
      <c r="H118" s="127">
        <f>'p&amp;l base'!$Q$13/12</f>
        <v>-250</v>
      </c>
      <c r="I118" s="127">
        <f>'p&amp;l base'!$Q$13/12</f>
        <v>-250</v>
      </c>
      <c r="J118" s="127">
        <f>'p&amp;l base'!$Q$13/12</f>
        <v>-250</v>
      </c>
      <c r="K118" s="127">
        <f>'p&amp;l base'!$Q$13/12</f>
        <v>-250</v>
      </c>
      <c r="L118" s="127">
        <f>'p&amp;l base'!$Q$13/12</f>
        <v>-250</v>
      </c>
      <c r="M118" s="127">
        <f>'p&amp;l base'!$Q$13/12</f>
        <v>-250</v>
      </c>
      <c r="N118" s="127">
        <f>'p&amp;l base'!$Q$13/12</f>
        <v>-250</v>
      </c>
      <c r="O118" s="127">
        <f>'p&amp;l base'!$Q$13/12</f>
        <v>-250</v>
      </c>
      <c r="P118" s="138">
        <f>'p&amp;l base'!$Q$13/12</f>
        <v>-250</v>
      </c>
    </row>
    <row r="119" spans="1:16">
      <c r="A119" s="11" t="s">
        <v>55</v>
      </c>
      <c r="B119" s="27" t="s">
        <v>101</v>
      </c>
      <c r="C119" s="27"/>
      <c r="D119" s="27"/>
      <c r="E119" s="127">
        <f>'p&amp;l base'!$Q$14/12</f>
        <v>-76.429500000000019</v>
      </c>
      <c r="F119" s="127">
        <f>'p&amp;l base'!$Q$14/12</f>
        <v>-76.429500000000019</v>
      </c>
      <c r="G119" s="127">
        <f>'p&amp;l base'!$Q$14/12</f>
        <v>-76.429500000000019</v>
      </c>
      <c r="H119" s="127">
        <f>'p&amp;l base'!$Q$14/12</f>
        <v>-76.429500000000019</v>
      </c>
      <c r="I119" s="127">
        <f>'p&amp;l base'!$Q$14/12</f>
        <v>-76.429500000000019</v>
      </c>
      <c r="J119" s="127">
        <f>'p&amp;l base'!$Q$14/12</f>
        <v>-76.429500000000019</v>
      </c>
      <c r="K119" s="127">
        <f>'p&amp;l base'!$Q$14/12</f>
        <v>-76.429500000000019</v>
      </c>
      <c r="L119" s="127">
        <f>'p&amp;l base'!$Q$14/12</f>
        <v>-76.429500000000019</v>
      </c>
      <c r="M119" s="127">
        <f>'p&amp;l base'!$Q$14/12</f>
        <v>-76.429500000000019</v>
      </c>
      <c r="N119" s="127">
        <f>'p&amp;l base'!$Q$14/12</f>
        <v>-76.429500000000019</v>
      </c>
      <c r="O119" s="127">
        <f>'p&amp;l base'!$Q$14/12</f>
        <v>-76.429500000000019</v>
      </c>
      <c r="P119" s="138">
        <f>'p&amp;l base'!$Q$14/12</f>
        <v>-76.429500000000019</v>
      </c>
    </row>
    <row r="120" spans="1:16">
      <c r="A120" s="11" t="s">
        <v>56</v>
      </c>
      <c r="B120" s="27" t="s">
        <v>60</v>
      </c>
      <c r="C120" s="27"/>
      <c r="D120" s="27"/>
      <c r="E120" s="127">
        <f>'p&amp;l base'!$Q$15/12</f>
        <v>-131.9</v>
      </c>
      <c r="F120" s="127">
        <f>'p&amp;l base'!$Q$15/12</f>
        <v>-131.9</v>
      </c>
      <c r="G120" s="127">
        <f>'p&amp;l base'!$Q$15/12</f>
        <v>-131.9</v>
      </c>
      <c r="H120" s="127">
        <f>'p&amp;l base'!$Q$15/12</f>
        <v>-131.9</v>
      </c>
      <c r="I120" s="127">
        <f>'p&amp;l base'!$Q$15/12</f>
        <v>-131.9</v>
      </c>
      <c r="J120" s="127">
        <f>'p&amp;l base'!$Q$15/12</f>
        <v>-131.9</v>
      </c>
      <c r="K120" s="127">
        <f>'p&amp;l base'!$Q$15/12</f>
        <v>-131.9</v>
      </c>
      <c r="L120" s="127">
        <f>'p&amp;l base'!$Q$15/12</f>
        <v>-131.9</v>
      </c>
      <c r="M120" s="127">
        <f>'p&amp;l base'!$Q$15/12</f>
        <v>-131.9</v>
      </c>
      <c r="N120" s="127">
        <f>'p&amp;l base'!$Q$15/12</f>
        <v>-131.9</v>
      </c>
      <c r="O120" s="127">
        <f>'p&amp;l base'!$Q$15/12</f>
        <v>-131.9</v>
      </c>
      <c r="P120" s="138">
        <f>'p&amp;l base'!$Q$15/12</f>
        <v>-131.9</v>
      </c>
    </row>
    <row r="121" spans="1:16">
      <c r="A121" s="11" t="s">
        <v>105</v>
      </c>
      <c r="B121" s="27" t="s">
        <v>106</v>
      </c>
      <c r="C121" s="27"/>
      <c r="D121" s="27"/>
      <c r="E121" s="123">
        <f>(('p&amp;l base'!$AD$20*'p&amp;l base'!$AD$21)+('p&amp;l base'!$AD$25*'p&amp;l base'!$AD$26))/12*(-1)</f>
        <v>-174</v>
      </c>
      <c r="F121" s="123">
        <f>(('p&amp;l base'!$AD$20*'p&amp;l base'!$AD$21)+('p&amp;l base'!$AD$25*'p&amp;l base'!$AD$26))/12*(-1)</f>
        <v>-174</v>
      </c>
      <c r="G121" s="123">
        <f>(('p&amp;l base'!$AD$20*'p&amp;l base'!$AD$21)+('p&amp;l base'!$AD$25*'p&amp;l base'!$AD$26))/12*(-1)</f>
        <v>-174</v>
      </c>
      <c r="H121" s="123">
        <f>(('p&amp;l base'!$AD$20*'p&amp;l base'!$AD$21)+('p&amp;l base'!$AD$25*'p&amp;l base'!$AD$26))/12*(-1)</f>
        <v>-174</v>
      </c>
      <c r="I121" s="123">
        <f>(('p&amp;l base'!$AD$20*'p&amp;l base'!$AD$21)+('p&amp;l base'!$AD$25*'p&amp;l base'!$AD$26))/12*(-1)</f>
        <v>-174</v>
      </c>
      <c r="J121" s="123">
        <f>(('p&amp;l base'!$AD$20*'p&amp;l base'!$AD$21)+('p&amp;l base'!$AD$25*'p&amp;l base'!$AD$26))/12*(-1)</f>
        <v>-174</v>
      </c>
      <c r="K121" s="123">
        <f>(('p&amp;l base'!$AD$20*'p&amp;l base'!$AD$21)+('p&amp;l base'!$AD$25*'p&amp;l base'!$AD$26))/12*(-1)</f>
        <v>-174</v>
      </c>
      <c r="L121" s="123">
        <f>(('p&amp;l base'!$AD$20*'p&amp;l base'!$AD$21)+('p&amp;l base'!$AD$25*'p&amp;l base'!$AD$26))/12*(-1)</f>
        <v>-174</v>
      </c>
      <c r="M121" s="123">
        <f>(('p&amp;l base'!$AD$20*'p&amp;l base'!$AD$21)+('p&amp;l base'!$AD$25*'p&amp;l base'!$AD$26))/12*(-1)</f>
        <v>-174</v>
      </c>
      <c r="N121" s="123">
        <f>(('p&amp;l base'!$AD$20*'p&amp;l base'!$AD$21)+('p&amp;l base'!$AD$25*'p&amp;l base'!$AD$26))/12*(-1)</f>
        <v>-174</v>
      </c>
      <c r="O121" s="123">
        <f>(('p&amp;l base'!$AD$20*'p&amp;l base'!$AD$21)+('p&amp;l base'!$AD$25*'p&amp;l base'!$AD$26))/12*(-1)</f>
        <v>-174</v>
      </c>
      <c r="P121" s="132">
        <f>(('p&amp;l base'!$AD$20*'p&amp;l base'!$AD$21)+('p&amp;l base'!$AD$25*'p&amp;l base'!$AD$26))/12*(-1)</f>
        <v>-174</v>
      </c>
    </row>
    <row r="122" spans="1:16">
      <c r="A122" s="66" t="s">
        <v>62</v>
      </c>
      <c r="B122" s="64" t="s">
        <v>63</v>
      </c>
      <c r="C122" s="32"/>
      <c r="D122" s="32"/>
      <c r="E122" s="126">
        <f t="shared" ref="E122" si="59">SUM(E115:E121)</f>
        <v>3462.6704999999997</v>
      </c>
      <c r="F122" s="126">
        <f t="shared" ref="F122" si="60">SUM(F115:F121)</f>
        <v>3462.6704999999997</v>
      </c>
      <c r="G122" s="126">
        <f t="shared" ref="G122" si="61">SUM(G115:G121)</f>
        <v>3462.6704999999997</v>
      </c>
      <c r="H122" s="126">
        <f t="shared" ref="H122" si="62">SUM(H115:H121)</f>
        <v>3462.6704999999997</v>
      </c>
      <c r="I122" s="126">
        <f t="shared" ref="I122" si="63">SUM(I115:I121)</f>
        <v>3462.6704999999997</v>
      </c>
      <c r="J122" s="126">
        <f t="shared" ref="J122" si="64">SUM(J115:J121)</f>
        <v>3462.6704999999997</v>
      </c>
      <c r="K122" s="126">
        <f t="shared" ref="K122" si="65">SUM(K115:K121)</f>
        <v>3462.6704999999997</v>
      </c>
      <c r="L122" s="126">
        <f t="shared" ref="L122" si="66">SUM(L115:L121)</f>
        <v>3462.6704999999997</v>
      </c>
      <c r="M122" s="126">
        <f t="shared" ref="M122" si="67">SUM(M115:M121)</f>
        <v>3462.6704999999997</v>
      </c>
      <c r="N122" s="126">
        <f t="shared" ref="N122" si="68">SUM(N115:N121)</f>
        <v>3462.6704999999997</v>
      </c>
      <c r="O122" s="126">
        <f t="shared" ref="O122" si="69">SUM(O115:O121)</f>
        <v>3462.6704999999997</v>
      </c>
      <c r="P122" s="135">
        <f t="shared" ref="P122" si="70">SUM(P115:P121)</f>
        <v>3462.6704999999997</v>
      </c>
    </row>
    <row r="123" spans="1:16">
      <c r="A123" s="11" t="s">
        <v>65</v>
      </c>
      <c r="B123" s="27" t="s">
        <v>64</v>
      </c>
      <c r="C123" s="27"/>
      <c r="D123" s="27"/>
      <c r="E123" s="123">
        <f>(('p&amp;l base'!$AD$3)+('p&amp;l base'!$AD$14*2)+('p&amp;l base'!$AD$7*'p&amp;l base'!$AD$8)+('p&amp;l base'!$AD$10*'p&amp;l base'!$AD$11))/12*(-1)</f>
        <v>-65.25</v>
      </c>
      <c r="F123" s="123">
        <f>(('p&amp;l base'!$AD$3)+('p&amp;l base'!$AD$14*2)+('p&amp;l base'!$AD$7*'p&amp;l base'!$AD$8)+('p&amp;l base'!$AD$10*'p&amp;l base'!$AD$11))/12*(-1)</f>
        <v>-65.25</v>
      </c>
      <c r="G123" s="123">
        <f>(('p&amp;l base'!$AD$3)+('p&amp;l base'!$AD$14*2)+('p&amp;l base'!$AD$7*'p&amp;l base'!$AD$8)+('p&amp;l base'!$AD$10*'p&amp;l base'!$AD$11))/12*(-1)</f>
        <v>-65.25</v>
      </c>
      <c r="H123" s="123">
        <f>(('p&amp;l base'!$AD$3)+('p&amp;l base'!$AD$14*2)+('p&amp;l base'!$AD$7*'p&amp;l base'!$AD$8)+('p&amp;l base'!$AD$10*'p&amp;l base'!$AD$11))/12*(-1)</f>
        <v>-65.25</v>
      </c>
      <c r="I123" s="123">
        <f>(('p&amp;l base'!$AD$3)+('p&amp;l base'!$AD$14*2)+('p&amp;l base'!$AD$7*'p&amp;l base'!$AD$8)+('p&amp;l base'!$AD$10*'p&amp;l base'!$AD$11))/12*(-1)</f>
        <v>-65.25</v>
      </c>
      <c r="J123" s="123">
        <f>(('p&amp;l base'!$AD$3)+('p&amp;l base'!$AD$14*2)+('p&amp;l base'!$AD$7*'p&amp;l base'!$AD$8)+('p&amp;l base'!$AD$10*'p&amp;l base'!$AD$11))/12*(-1)</f>
        <v>-65.25</v>
      </c>
      <c r="K123" s="123">
        <f>(('p&amp;l base'!$AD$3)+('p&amp;l base'!$AD$14*2)+('p&amp;l base'!$AD$7*'p&amp;l base'!$AD$8)+('p&amp;l base'!$AD$10*'p&amp;l base'!$AD$11))/12*(-1)</f>
        <v>-65.25</v>
      </c>
      <c r="L123" s="123">
        <f>(('p&amp;l base'!$AD$3)+('p&amp;l base'!$AD$14*2)+('p&amp;l base'!$AD$7*'p&amp;l base'!$AD$8)+('p&amp;l base'!$AD$10*'p&amp;l base'!$AD$11))/12*(-1)</f>
        <v>-65.25</v>
      </c>
      <c r="M123" s="123">
        <f>(('p&amp;l base'!$AD$3)+('p&amp;l base'!$AD$14*2)+('p&amp;l base'!$AD$7*'p&amp;l base'!$AD$8)+('p&amp;l base'!$AD$10*'p&amp;l base'!$AD$11))/12*(-1)</f>
        <v>-65.25</v>
      </c>
      <c r="N123" s="123">
        <f>(('p&amp;l base'!$AD$3)+('p&amp;l base'!$AD$14*2)+('p&amp;l base'!$AD$7*'p&amp;l base'!$AD$8)+('p&amp;l base'!$AD$10*'p&amp;l base'!$AD$11))/12*(-1)</f>
        <v>-65.25</v>
      </c>
      <c r="O123" s="123">
        <f>(('p&amp;l base'!$AD$3)+('p&amp;l base'!$AD$14*2)+('p&amp;l base'!$AD$7*'p&amp;l base'!$AD$8)+('p&amp;l base'!$AD$10*'p&amp;l base'!$AD$11))/12*(-1)</f>
        <v>-65.25</v>
      </c>
      <c r="P123" s="132">
        <f>(('p&amp;l base'!$AD$3)+('p&amp;l base'!$AD$14*2)+('p&amp;l base'!$AD$7*'p&amp;l base'!$AD$8)+('p&amp;l base'!$AD$10*'p&amp;l base'!$AD$11))/12*(-1)</f>
        <v>-65.25</v>
      </c>
    </row>
    <row r="124" spans="1:16">
      <c r="A124" s="11" t="s">
        <v>66</v>
      </c>
      <c r="B124" s="27" t="s">
        <v>107</v>
      </c>
      <c r="C124" s="27"/>
      <c r="D124" s="27"/>
      <c r="E124" s="123">
        <f>'p&amp;l base'!$K$19/12</f>
        <v>-165.14041514041514</v>
      </c>
      <c r="F124" s="123">
        <f>'p&amp;l base'!$K$19/12</f>
        <v>-165.14041514041514</v>
      </c>
      <c r="G124" s="123">
        <f>'p&amp;l base'!$K$19/12</f>
        <v>-165.14041514041514</v>
      </c>
      <c r="H124" s="123">
        <f>'p&amp;l base'!$K$19/12</f>
        <v>-165.14041514041514</v>
      </c>
      <c r="I124" s="123">
        <f>'p&amp;l base'!$K$19/12</f>
        <v>-165.14041514041514</v>
      </c>
      <c r="J124" s="123">
        <f>'p&amp;l base'!$K$19/12</f>
        <v>-165.14041514041514</v>
      </c>
      <c r="K124" s="123">
        <f>'p&amp;l base'!$K$19/12</f>
        <v>-165.14041514041514</v>
      </c>
      <c r="L124" s="123">
        <f>'p&amp;l base'!$K$19/12</f>
        <v>-165.14041514041514</v>
      </c>
      <c r="M124" s="123">
        <f>'p&amp;l base'!$K$19/12</f>
        <v>-165.14041514041514</v>
      </c>
      <c r="N124" s="123">
        <f>'p&amp;l base'!$K$19/12</f>
        <v>-165.14041514041514</v>
      </c>
      <c r="O124" s="123">
        <f>'p&amp;l base'!$K$19/12</f>
        <v>-165.14041514041514</v>
      </c>
      <c r="P124" s="132">
        <f>'p&amp;l base'!$K$19/12</f>
        <v>-165.14041514041514</v>
      </c>
    </row>
    <row r="125" spans="1:16">
      <c r="A125" s="11" t="s">
        <v>67</v>
      </c>
      <c r="B125" s="27" t="s">
        <v>68</v>
      </c>
      <c r="C125" s="27"/>
      <c r="D125" s="27"/>
      <c r="E125" s="127">
        <f>'p&amp;l base'!$Q$20/12</f>
        <v>-263.8</v>
      </c>
      <c r="F125" s="127">
        <f>'p&amp;l base'!$Q$20/12</f>
        <v>-263.8</v>
      </c>
      <c r="G125" s="127">
        <f>'p&amp;l base'!$Q$20/12</f>
        <v>-263.8</v>
      </c>
      <c r="H125" s="127">
        <f>'p&amp;l base'!$Q$20/12</f>
        <v>-263.8</v>
      </c>
      <c r="I125" s="127">
        <f>'p&amp;l base'!$Q$20/12</f>
        <v>-263.8</v>
      </c>
      <c r="J125" s="127">
        <f>'p&amp;l base'!$Q$20/12</f>
        <v>-263.8</v>
      </c>
      <c r="K125" s="127">
        <f>'p&amp;l base'!$Q$20/12</f>
        <v>-263.8</v>
      </c>
      <c r="L125" s="127">
        <f>'p&amp;l base'!$Q$20/12</f>
        <v>-263.8</v>
      </c>
      <c r="M125" s="127">
        <f>'p&amp;l base'!$Q$20/12</f>
        <v>-263.8</v>
      </c>
      <c r="N125" s="127">
        <f>'p&amp;l base'!$Q$20/12</f>
        <v>-263.8</v>
      </c>
      <c r="O125" s="127">
        <f>'p&amp;l base'!$Q$20/12</f>
        <v>-263.8</v>
      </c>
      <c r="P125" s="138">
        <f>'p&amp;l base'!$Q$20/12</f>
        <v>-263.8</v>
      </c>
    </row>
    <row r="126" spans="1:16">
      <c r="A126" s="11" t="s">
        <v>53</v>
      </c>
      <c r="B126" s="27" t="s">
        <v>69</v>
      </c>
      <c r="C126" s="27"/>
      <c r="D126" s="27"/>
      <c r="E126" s="127">
        <f>'p&amp;l base'!$Q$21/12</f>
        <v>-263.8</v>
      </c>
      <c r="F126" s="127">
        <f>'p&amp;l base'!$Q$21/12</f>
        <v>-263.8</v>
      </c>
      <c r="G126" s="127">
        <f>'p&amp;l base'!$Q$21/12</f>
        <v>-263.8</v>
      </c>
      <c r="H126" s="127">
        <f>'p&amp;l base'!$Q$21/12</f>
        <v>-263.8</v>
      </c>
      <c r="I126" s="127">
        <f>'p&amp;l base'!$Q$21/12</f>
        <v>-263.8</v>
      </c>
      <c r="J126" s="127">
        <f>'p&amp;l base'!$Q$21/12</f>
        <v>-263.8</v>
      </c>
      <c r="K126" s="127">
        <f>'p&amp;l base'!$Q$21/12</f>
        <v>-263.8</v>
      </c>
      <c r="L126" s="127">
        <f>'p&amp;l base'!$Q$21/12</f>
        <v>-263.8</v>
      </c>
      <c r="M126" s="127">
        <f>'p&amp;l base'!$Q$21/12</f>
        <v>-263.8</v>
      </c>
      <c r="N126" s="127">
        <f>'p&amp;l base'!$Q$21/12</f>
        <v>-263.8</v>
      </c>
      <c r="O126" s="127">
        <f>'p&amp;l base'!$Q$21/12</f>
        <v>-263.8</v>
      </c>
      <c r="P126" s="138">
        <f>'p&amp;l base'!$Q$21/12</f>
        <v>-263.8</v>
      </c>
    </row>
    <row r="127" spans="1:16">
      <c r="A127" s="66" t="s">
        <v>70</v>
      </c>
      <c r="B127" s="64" t="s">
        <v>71</v>
      </c>
      <c r="C127" s="32"/>
      <c r="D127" s="32"/>
      <c r="E127" s="126">
        <f>SUM(E122:E126)</f>
        <v>2704.680084859584</v>
      </c>
      <c r="F127" s="126">
        <f t="shared" ref="F127:P127" si="71">SUM(F122:F126)</f>
        <v>2704.680084859584</v>
      </c>
      <c r="G127" s="126">
        <f t="shared" si="71"/>
        <v>2704.680084859584</v>
      </c>
      <c r="H127" s="126">
        <f t="shared" si="71"/>
        <v>2704.680084859584</v>
      </c>
      <c r="I127" s="126">
        <f t="shared" si="71"/>
        <v>2704.680084859584</v>
      </c>
      <c r="J127" s="126">
        <f t="shared" si="71"/>
        <v>2704.680084859584</v>
      </c>
      <c r="K127" s="126">
        <f t="shared" si="71"/>
        <v>2704.680084859584</v>
      </c>
      <c r="L127" s="126">
        <f t="shared" si="71"/>
        <v>2704.680084859584</v>
      </c>
      <c r="M127" s="126">
        <f t="shared" si="71"/>
        <v>2704.680084859584</v>
      </c>
      <c r="N127" s="126">
        <f t="shared" si="71"/>
        <v>2704.680084859584</v>
      </c>
      <c r="O127" s="126">
        <f t="shared" si="71"/>
        <v>2704.680084859584</v>
      </c>
      <c r="P127" s="135">
        <f t="shared" si="71"/>
        <v>2704.680084859584</v>
      </c>
    </row>
    <row r="128" spans="1:16">
      <c r="A128" s="11" t="s">
        <v>72</v>
      </c>
      <c r="B128" s="27" t="s">
        <v>73</v>
      </c>
      <c r="C128" s="27"/>
      <c r="D128" s="27"/>
      <c r="E128" s="127"/>
      <c r="F128" s="127"/>
      <c r="G128" s="123"/>
      <c r="H128" s="123"/>
      <c r="I128" s="123"/>
      <c r="J128" s="123"/>
      <c r="K128" s="123"/>
      <c r="L128" s="123"/>
      <c r="M128" s="123"/>
      <c r="N128" s="123"/>
      <c r="O128" s="123"/>
      <c r="P128" s="132"/>
    </row>
    <row r="129" spans="1:16">
      <c r="A129" s="11" t="s">
        <v>74</v>
      </c>
      <c r="B129" s="27" t="s">
        <v>25</v>
      </c>
      <c r="C129" s="27"/>
      <c r="D129" s="27"/>
      <c r="E129" s="127">
        <f>'p&amp;l base'!$Q$24/12</f>
        <v>-186.68638886333335</v>
      </c>
      <c r="F129" s="127">
        <f>'p&amp;l base'!$Q$24/12</f>
        <v>-186.68638886333335</v>
      </c>
      <c r="G129" s="127">
        <f>'p&amp;l base'!$Q$24/12</f>
        <v>-186.68638886333335</v>
      </c>
      <c r="H129" s="127">
        <f>'p&amp;l base'!$Q$24/12</f>
        <v>-186.68638886333335</v>
      </c>
      <c r="I129" s="127">
        <f>'p&amp;l base'!$Q$24/12</f>
        <v>-186.68638886333335</v>
      </c>
      <c r="J129" s="127">
        <f>'p&amp;l base'!$Q$24/12</f>
        <v>-186.68638886333335</v>
      </c>
      <c r="K129" s="127">
        <f>'p&amp;l base'!$Q$24/12</f>
        <v>-186.68638886333335</v>
      </c>
      <c r="L129" s="127">
        <f>'p&amp;l base'!$Q$24/12</f>
        <v>-186.68638886333335</v>
      </c>
      <c r="M129" s="127">
        <f>'p&amp;l base'!$Q$24/12</f>
        <v>-186.68638886333335</v>
      </c>
      <c r="N129" s="127">
        <f>'p&amp;l base'!$Q$24/12</f>
        <v>-186.68638886333335</v>
      </c>
      <c r="O129" s="127">
        <f>'p&amp;l base'!$Q$24/12</f>
        <v>-186.68638886333335</v>
      </c>
      <c r="P129" s="138">
        <f>'p&amp;l base'!$Q$24/12</f>
        <v>-186.68638886333335</v>
      </c>
    </row>
    <row r="130" spans="1:16">
      <c r="A130" s="11" t="s">
        <v>76</v>
      </c>
      <c r="B130" s="27" t="s">
        <v>77</v>
      </c>
      <c r="C130" s="27"/>
      <c r="D130" s="27"/>
      <c r="E130" s="127"/>
      <c r="F130" s="127"/>
      <c r="G130" s="123"/>
      <c r="H130" s="123"/>
      <c r="I130" s="123"/>
      <c r="J130" s="123"/>
      <c r="K130" s="123"/>
      <c r="L130" s="123"/>
      <c r="M130" s="123"/>
      <c r="N130" s="123"/>
      <c r="O130" s="123"/>
      <c r="P130" s="132"/>
    </row>
    <row r="131" spans="1:16">
      <c r="A131" s="66" t="s">
        <v>78</v>
      </c>
      <c r="B131" s="64" t="s">
        <v>79</v>
      </c>
      <c r="C131" s="32"/>
      <c r="D131" s="32"/>
      <c r="E131" s="126">
        <f>SUM(E127:E130)</f>
        <v>2517.9936959962506</v>
      </c>
      <c r="F131" s="126">
        <f t="shared" ref="F131:P131" si="72">SUM(F127:F130)</f>
        <v>2517.9936959962506</v>
      </c>
      <c r="G131" s="126">
        <f t="shared" si="72"/>
        <v>2517.9936959962506</v>
      </c>
      <c r="H131" s="126">
        <f t="shared" si="72"/>
        <v>2517.9936959962506</v>
      </c>
      <c r="I131" s="126">
        <f t="shared" si="72"/>
        <v>2517.9936959962506</v>
      </c>
      <c r="J131" s="126">
        <f t="shared" si="72"/>
        <v>2517.9936959962506</v>
      </c>
      <c r="K131" s="126">
        <f t="shared" si="72"/>
        <v>2517.9936959962506</v>
      </c>
      <c r="L131" s="126">
        <f t="shared" si="72"/>
        <v>2517.9936959962506</v>
      </c>
      <c r="M131" s="126">
        <f t="shared" si="72"/>
        <v>2517.9936959962506</v>
      </c>
      <c r="N131" s="126">
        <f t="shared" si="72"/>
        <v>2517.9936959962506</v>
      </c>
      <c r="O131" s="126">
        <f t="shared" si="72"/>
        <v>2517.9936959962506</v>
      </c>
      <c r="P131" s="135">
        <f t="shared" si="72"/>
        <v>2517.9936959962506</v>
      </c>
    </row>
    <row r="132" spans="1:16">
      <c r="A132" s="11" t="s">
        <v>80</v>
      </c>
      <c r="B132" s="27" t="s">
        <v>81</v>
      </c>
      <c r="C132" s="27"/>
      <c r="D132" s="27"/>
      <c r="E132" s="123">
        <f>'p&amp;l base'!$E$27*'cash flow monthly'!E131*(-1)</f>
        <v>-705.03823487895022</v>
      </c>
      <c r="F132" s="123">
        <f>'p&amp;l base'!$E$27*'cash flow monthly'!F131*(-1)</f>
        <v>-705.03823487895022</v>
      </c>
      <c r="G132" s="123">
        <f>'p&amp;l base'!$E$27*'cash flow monthly'!G131*(-1)</f>
        <v>-705.03823487895022</v>
      </c>
      <c r="H132" s="123">
        <f>'p&amp;l base'!$E$27*'cash flow monthly'!H131*(-1)</f>
        <v>-705.03823487895022</v>
      </c>
      <c r="I132" s="123">
        <f>'p&amp;l base'!$E$27*'cash flow monthly'!I131*(-1)</f>
        <v>-705.03823487895022</v>
      </c>
      <c r="J132" s="123">
        <f>'p&amp;l base'!$E$27*'cash flow monthly'!J131*(-1)</f>
        <v>-705.03823487895022</v>
      </c>
      <c r="K132" s="123">
        <f>'p&amp;l base'!$E$27*'cash flow monthly'!K131*(-1)</f>
        <v>-705.03823487895022</v>
      </c>
      <c r="L132" s="123">
        <f>'p&amp;l base'!$E$27*'cash flow monthly'!L131*(-1)</f>
        <v>-705.03823487895022</v>
      </c>
      <c r="M132" s="123">
        <f>'p&amp;l base'!$E$27*'cash flow monthly'!M131*(-1)</f>
        <v>-705.03823487895022</v>
      </c>
      <c r="N132" s="123">
        <f>'p&amp;l base'!$E$27*'cash flow monthly'!N131*(-1)</f>
        <v>-705.03823487895022</v>
      </c>
      <c r="O132" s="123">
        <f>'p&amp;l base'!$E$27*'cash flow monthly'!O131*(-1)</f>
        <v>-705.03823487895022</v>
      </c>
      <c r="P132" s="132">
        <f>'p&amp;l base'!$E$27*'cash flow monthly'!P131*(-1)</f>
        <v>-705.03823487895022</v>
      </c>
    </row>
    <row r="133" spans="1:16">
      <c r="A133" s="66" t="s">
        <v>82</v>
      </c>
      <c r="B133" s="64" t="s">
        <v>83</v>
      </c>
      <c r="C133" s="32"/>
      <c r="D133" s="32"/>
      <c r="E133" s="126">
        <f>SUM(E131:E132)</f>
        <v>1812.9554611173003</v>
      </c>
      <c r="F133" s="126">
        <f t="shared" ref="F133:P133" si="73">SUM(F131:F132)</f>
        <v>1812.9554611173003</v>
      </c>
      <c r="G133" s="126">
        <f t="shared" si="73"/>
        <v>1812.9554611173003</v>
      </c>
      <c r="H133" s="126">
        <f t="shared" si="73"/>
        <v>1812.9554611173003</v>
      </c>
      <c r="I133" s="126">
        <f t="shared" si="73"/>
        <v>1812.9554611173003</v>
      </c>
      <c r="J133" s="126">
        <f t="shared" si="73"/>
        <v>1812.9554611173003</v>
      </c>
      <c r="K133" s="126">
        <f t="shared" si="73"/>
        <v>1812.9554611173003</v>
      </c>
      <c r="L133" s="126">
        <f t="shared" si="73"/>
        <v>1812.9554611173003</v>
      </c>
      <c r="M133" s="126">
        <f t="shared" si="73"/>
        <v>1812.9554611173003</v>
      </c>
      <c r="N133" s="126">
        <f t="shared" si="73"/>
        <v>1812.9554611173003</v>
      </c>
      <c r="O133" s="126">
        <f t="shared" si="73"/>
        <v>1812.9554611173003</v>
      </c>
      <c r="P133" s="135">
        <f t="shared" si="73"/>
        <v>1812.9554611173003</v>
      </c>
    </row>
    <row r="134" spans="1:16">
      <c r="A134" s="11" t="s">
        <v>84</v>
      </c>
      <c r="B134" s="82" t="s">
        <v>85</v>
      </c>
      <c r="C134" s="27"/>
      <c r="D134" s="27"/>
      <c r="E134" s="127">
        <f>E124*(-1)</f>
        <v>165.14041514041514</v>
      </c>
      <c r="F134" s="127">
        <f t="shared" ref="F134:P134" si="74">F124*(-1)</f>
        <v>165.14041514041514</v>
      </c>
      <c r="G134" s="127">
        <f t="shared" si="74"/>
        <v>165.14041514041514</v>
      </c>
      <c r="H134" s="127">
        <f t="shared" si="74"/>
        <v>165.14041514041514</v>
      </c>
      <c r="I134" s="127">
        <f t="shared" si="74"/>
        <v>165.14041514041514</v>
      </c>
      <c r="J134" s="127">
        <f t="shared" si="74"/>
        <v>165.14041514041514</v>
      </c>
      <c r="K134" s="127">
        <f t="shared" si="74"/>
        <v>165.14041514041514</v>
      </c>
      <c r="L134" s="127">
        <f t="shared" si="74"/>
        <v>165.14041514041514</v>
      </c>
      <c r="M134" s="127">
        <f t="shared" si="74"/>
        <v>165.14041514041514</v>
      </c>
      <c r="N134" s="127">
        <f t="shared" si="74"/>
        <v>165.14041514041514</v>
      </c>
      <c r="O134" s="127">
        <f t="shared" si="74"/>
        <v>165.14041514041514</v>
      </c>
      <c r="P134" s="138">
        <f t="shared" si="74"/>
        <v>165.14041514041514</v>
      </c>
    </row>
    <row r="135" spans="1:16" ht="17" thickBot="1">
      <c r="A135" s="86" t="s">
        <v>86</v>
      </c>
      <c r="B135" s="87" t="s">
        <v>87</v>
      </c>
      <c r="C135" s="103"/>
      <c r="D135" s="103"/>
      <c r="E135" s="136">
        <f>SUM(E133:E134)</f>
        <v>1978.0958762577154</v>
      </c>
      <c r="F135" s="136">
        <f t="shared" ref="F135:P135" si="75">SUM(F133:F134)</f>
        <v>1978.0958762577154</v>
      </c>
      <c r="G135" s="136">
        <f t="shared" si="75"/>
        <v>1978.0958762577154</v>
      </c>
      <c r="H135" s="136">
        <f t="shared" si="75"/>
        <v>1978.0958762577154</v>
      </c>
      <c r="I135" s="136">
        <f t="shared" si="75"/>
        <v>1978.0958762577154</v>
      </c>
      <c r="J135" s="136">
        <f t="shared" si="75"/>
        <v>1978.0958762577154</v>
      </c>
      <c r="K135" s="136">
        <f t="shared" si="75"/>
        <v>1978.0958762577154</v>
      </c>
      <c r="L135" s="136">
        <f t="shared" si="75"/>
        <v>1978.0958762577154</v>
      </c>
      <c r="M135" s="136">
        <f t="shared" si="75"/>
        <v>1978.0958762577154</v>
      </c>
      <c r="N135" s="136">
        <f t="shared" si="75"/>
        <v>1978.0958762577154</v>
      </c>
      <c r="O135" s="136">
        <f t="shared" si="75"/>
        <v>1978.0958762577154</v>
      </c>
      <c r="P135" s="137">
        <f t="shared" si="75"/>
        <v>1978.0958762577154</v>
      </c>
    </row>
  </sheetData>
  <mergeCells count="5">
    <mergeCell ref="A55:P55"/>
    <mergeCell ref="A82:P82"/>
    <mergeCell ref="A109:P109"/>
    <mergeCell ref="A28:P28"/>
    <mergeCell ref="A1:P1"/>
  </mergeCells>
  <pageMargins left="0.7" right="0.7" top="0.78740157499999996" bottom="0.78740157499999996" header="0.3" footer="0.3"/>
  <pageSetup orientation="portrait" horizontalDpi="0" verticalDpi="0"/>
  <ignoredErrors>
    <ignoredError sqref="E134 F134:P134 E107:P107 E80:P80 N53:P53" formula="1"/>
  </ignoredErrors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9DBE-0066-2944-A5EB-F41E65084FEA}">
  <dimension ref="A2:J28"/>
  <sheetViews>
    <sheetView tabSelected="1" workbookViewId="0">
      <selection activeCell="G34" sqref="G34"/>
    </sheetView>
  </sheetViews>
  <sheetFormatPr baseColWidth="10" defaultRowHeight="16"/>
  <cols>
    <col min="6" max="6" width="12" bestFit="1" customWidth="1"/>
    <col min="7" max="7" width="11" bestFit="1" customWidth="1"/>
    <col min="8" max="10" width="12" bestFit="1" customWidth="1"/>
  </cols>
  <sheetData>
    <row r="2" spans="1:10">
      <c r="B2" s="117" t="s">
        <v>109</v>
      </c>
      <c r="F2" s="115" t="s">
        <v>116</v>
      </c>
      <c r="G2" s="115" t="s">
        <v>115</v>
      </c>
      <c r="H2" s="115" t="s">
        <v>119</v>
      </c>
      <c r="I2" s="115" t="s">
        <v>118</v>
      </c>
      <c r="J2" s="115" t="s">
        <v>117</v>
      </c>
    </row>
    <row r="3" spans="1:10">
      <c r="A3" s="32" t="s">
        <v>42</v>
      </c>
      <c r="B3" s="64" t="s">
        <v>114</v>
      </c>
      <c r="C3" s="116"/>
      <c r="D3" s="116"/>
      <c r="E3" s="116"/>
      <c r="F3" s="119">
        <f>SUM('cash flow monthly'!E3:P3)</f>
        <v>0</v>
      </c>
      <c r="G3" s="118">
        <f>SUM('cash flow monthly'!E30:P30)</f>
        <v>2062.5</v>
      </c>
      <c r="H3" s="119">
        <f>SUM('cash flow monthly'!E57:P57)</f>
        <v>62375</v>
      </c>
      <c r="I3" s="119">
        <f>SUM('cash flow monthly'!E84:P84)</f>
        <v>75000</v>
      </c>
      <c r="J3" s="119">
        <f>SUM('cash flow monthly'!E111:P111)</f>
        <v>75000</v>
      </c>
    </row>
    <row r="4" spans="1:10">
      <c r="A4" s="27" t="s">
        <v>43</v>
      </c>
      <c r="B4" s="27" t="s">
        <v>110</v>
      </c>
      <c r="F4" s="120">
        <f>SUM('cash flow monthly'!E4:P4)</f>
        <v>0</v>
      </c>
      <c r="G4" s="121">
        <f>SUM('cash flow monthly'!E31:P31)</f>
        <v>105.60000000000001</v>
      </c>
      <c r="H4" s="121">
        <f>SUM('cash flow monthly'!E58:P58)</f>
        <v>3193.6</v>
      </c>
      <c r="I4" s="121">
        <f>SUM('cash flow monthly'!E85:P85)</f>
        <v>3840</v>
      </c>
      <c r="J4" s="121">
        <f>SUM('cash flow monthly'!E112:P112)</f>
        <v>3840</v>
      </c>
    </row>
    <row r="5" spans="1:10">
      <c r="A5" s="27" t="s">
        <v>44</v>
      </c>
      <c r="B5" s="27" t="s">
        <v>144</v>
      </c>
      <c r="F5" s="120">
        <f>SUM('cash flow monthly'!E5:P5)</f>
        <v>0</v>
      </c>
      <c r="G5" s="121">
        <f>SUM('cash flow monthly'!E32:P32)</f>
        <v>0</v>
      </c>
      <c r="H5" s="121">
        <f>SUM('cash flow monthly'!E59:P59)</f>
        <v>0</v>
      </c>
      <c r="I5" s="121">
        <f>SUM('cash flow monthly'!E86:P86)</f>
        <v>0</v>
      </c>
      <c r="J5" s="121">
        <f>SUM('cash flow monthly'!E113:P113)</f>
        <v>0</v>
      </c>
    </row>
    <row r="6" spans="1:10">
      <c r="A6" s="27" t="s">
        <v>47</v>
      </c>
      <c r="B6" s="27" t="s">
        <v>50</v>
      </c>
      <c r="F6" s="120">
        <f>SUM('cash flow monthly'!E6:P6)</f>
        <v>0</v>
      </c>
      <c r="G6" s="121">
        <f>SUM('cash flow monthly'!E33:P33)</f>
        <v>8.25</v>
      </c>
      <c r="H6" s="121">
        <f>SUM('cash flow monthly'!E60:P60)</f>
        <v>249.5</v>
      </c>
      <c r="I6" s="121">
        <f>SUM('cash flow monthly'!E87:P87)</f>
        <v>300</v>
      </c>
      <c r="J6" s="121">
        <f>SUM('cash flow monthly'!E114:P114)</f>
        <v>300</v>
      </c>
    </row>
    <row r="7" spans="1:10">
      <c r="A7" s="64" t="s">
        <v>48</v>
      </c>
      <c r="B7" s="64" t="s">
        <v>51</v>
      </c>
      <c r="C7" s="116"/>
      <c r="D7" s="116"/>
      <c r="E7" s="116"/>
      <c r="F7" s="164">
        <f>SUM('cash flow monthly'!E7:P7)</f>
        <v>0</v>
      </c>
      <c r="G7" s="164">
        <f>SUM('cash flow monthly'!E34:P34)</f>
        <v>2176.35</v>
      </c>
      <c r="H7" s="164">
        <f>SUM('cash flow monthly'!E61:P61)</f>
        <v>65818.100000000006</v>
      </c>
      <c r="I7" s="164">
        <f>SUM('cash flow monthly'!E88:P88)</f>
        <v>79140</v>
      </c>
      <c r="J7" s="164">
        <f>SUM('cash flow monthly'!E115:P115)</f>
        <v>79140</v>
      </c>
    </row>
    <row r="8" spans="1:10">
      <c r="A8" s="27" t="s">
        <v>49</v>
      </c>
      <c r="B8" s="27" t="s">
        <v>52</v>
      </c>
      <c r="F8" s="120">
        <f>SUM('cash flow monthly'!E8:P8)</f>
        <v>0</v>
      </c>
      <c r="G8" s="121">
        <f>SUM('cash flow monthly'!E35:P35)</f>
        <v>0</v>
      </c>
      <c r="H8" s="121">
        <f>SUM('cash flow monthly'!E62:P62)</f>
        <v>0</v>
      </c>
      <c r="I8" s="121">
        <f>SUM('cash flow monthly'!E89:P89)</f>
        <v>0</v>
      </c>
      <c r="J8" s="121">
        <f>SUM('cash flow monthly'!E116:P116)</f>
        <v>0</v>
      </c>
    </row>
    <row r="9" spans="1:10" ht="19">
      <c r="A9" s="27" t="s">
        <v>53</v>
      </c>
      <c r="B9" s="27" t="s">
        <v>89</v>
      </c>
      <c r="F9" s="120">
        <f>SUM('cash flow monthly'!E9:P9)</f>
        <v>0</v>
      </c>
      <c r="G9" s="121">
        <f>SUM('cash flow monthly'!E36:P36)</f>
        <v>-2475</v>
      </c>
      <c r="H9" s="121">
        <f>SUM('cash flow monthly'!E63:P63)</f>
        <v>-29150</v>
      </c>
      <c r="I9" s="121">
        <f>SUM('cash flow monthly'!E90:P90)</f>
        <v>-30000</v>
      </c>
      <c r="J9" s="121">
        <f>SUM('cash flow monthly'!E117:P117)</f>
        <v>-30000</v>
      </c>
    </row>
    <row r="10" spans="1:10">
      <c r="A10" s="27" t="s">
        <v>54</v>
      </c>
      <c r="B10" s="27" t="s">
        <v>58</v>
      </c>
      <c r="F10" s="120">
        <f>SUM('cash flow monthly'!E10:P10)</f>
        <v>0</v>
      </c>
      <c r="G10" s="121">
        <f>SUM('cash flow monthly'!E37:P37)</f>
        <v>-247.5</v>
      </c>
      <c r="H10" s="121">
        <f>SUM('cash flow monthly'!E64:P64)</f>
        <v>-2915</v>
      </c>
      <c r="I10" s="121">
        <f>SUM('cash flow monthly'!E91:P91)</f>
        <v>-3000</v>
      </c>
      <c r="J10" s="121">
        <f>SUM('cash flow monthly'!E118:P118)</f>
        <v>-3000</v>
      </c>
    </row>
    <row r="11" spans="1:10">
      <c r="A11" s="27" t="s">
        <v>55</v>
      </c>
      <c r="B11" s="27" t="s">
        <v>101</v>
      </c>
      <c r="F11" s="120">
        <f>SUM('cash flow monthly'!E11:P11)</f>
        <v>0</v>
      </c>
      <c r="G11" s="121">
        <f>SUM('cash flow monthly'!E38:P38)</f>
        <v>-181.84950000000003</v>
      </c>
      <c r="H11" s="121">
        <f>SUM('cash flow monthly'!E65:P65)</f>
        <v>-909.24749999999995</v>
      </c>
      <c r="I11" s="121">
        <f>SUM('cash flow monthly'!E92:P92)</f>
        <v>-917.154</v>
      </c>
      <c r="J11" s="121">
        <f>SUM('cash flow monthly'!E119:P119)</f>
        <v>-917.154</v>
      </c>
    </row>
    <row r="12" spans="1:10">
      <c r="A12" s="27" t="s">
        <v>56</v>
      </c>
      <c r="B12" s="27" t="s">
        <v>60</v>
      </c>
      <c r="F12" s="120">
        <f>SUM('cash flow monthly'!E12:P12)</f>
        <v>-5500</v>
      </c>
      <c r="G12" s="121">
        <f>SUM('cash flow monthly'!E39:P39)</f>
        <v>-5630.5810000000001</v>
      </c>
      <c r="H12" s="121">
        <f>SUM('cash flow monthly'!E66:P66)</f>
        <v>-1537.9540000000002</v>
      </c>
      <c r="I12" s="121">
        <f>SUM('cash flow monthly'!E93:P93)</f>
        <v>-1582.8000000000004</v>
      </c>
      <c r="J12" s="121">
        <f>SUM('cash flow monthly'!E120:P120)</f>
        <v>-1582.8000000000004</v>
      </c>
    </row>
    <row r="13" spans="1:10">
      <c r="A13" s="27" t="s">
        <v>105</v>
      </c>
      <c r="B13" s="27" t="s">
        <v>106</v>
      </c>
      <c r="F13" s="120">
        <f>SUM('cash flow monthly'!E13:P13)</f>
        <v>0</v>
      </c>
      <c r="G13" s="121">
        <f>SUM('cash flow monthly'!E40:P40)</f>
        <v>-174</v>
      </c>
      <c r="H13" s="121">
        <f>SUM('cash flow monthly'!E67:P67)</f>
        <v>-2030</v>
      </c>
      <c r="I13" s="121">
        <f>SUM('cash flow monthly'!E94:P94)</f>
        <v>-2088</v>
      </c>
      <c r="J13" s="121">
        <f>SUM('cash flow monthly'!E121:P121)</f>
        <v>-2088</v>
      </c>
    </row>
    <row r="14" spans="1:10">
      <c r="A14" s="64" t="s">
        <v>62</v>
      </c>
      <c r="B14" s="64" t="s">
        <v>63</v>
      </c>
      <c r="C14" s="116"/>
      <c r="D14" s="116"/>
      <c r="E14" s="116"/>
      <c r="F14" s="164">
        <f>SUM('cash flow monthly'!E14:P14)</f>
        <v>-5500</v>
      </c>
      <c r="G14" s="164">
        <f>SUM('cash flow monthly'!E41:P41)</f>
        <v>-6532.5805</v>
      </c>
      <c r="H14" s="164">
        <f>SUM('cash flow monthly'!E68:P68)</f>
        <v>29275.898499999999</v>
      </c>
      <c r="I14" s="164">
        <f>SUM('cash flow monthly'!E95:P95)</f>
        <v>41552.045999999995</v>
      </c>
      <c r="J14" s="164">
        <f>SUM('cash flow monthly'!E122:P122)</f>
        <v>41552.045999999995</v>
      </c>
    </row>
    <row r="15" spans="1:10">
      <c r="A15" s="27" t="s">
        <v>65</v>
      </c>
      <c r="B15" s="27" t="s">
        <v>64</v>
      </c>
      <c r="F15" s="120">
        <f>SUM('cash flow monthly'!E15:P15)</f>
        <v>-165</v>
      </c>
      <c r="G15" s="121">
        <f>SUM('cash flow monthly'!E42:P42)</f>
        <v>-337</v>
      </c>
      <c r="H15" s="121">
        <f>SUM('cash flow monthly'!E69:P69)</f>
        <v>-772.16666666666674</v>
      </c>
      <c r="I15" s="121">
        <f>SUM('cash flow monthly'!E96:P96)</f>
        <v>-783</v>
      </c>
      <c r="J15" s="121">
        <f>SUM('cash flow monthly'!E123:P123)</f>
        <v>-783</v>
      </c>
    </row>
    <row r="16" spans="1:10">
      <c r="A16" s="27" t="s">
        <v>66</v>
      </c>
      <c r="B16" s="27" t="s">
        <v>107</v>
      </c>
      <c r="F16" s="120">
        <f>SUM('cash flow monthly'!E16:P16)</f>
        <v>0</v>
      </c>
      <c r="G16" s="121">
        <f>SUM('cash flow monthly'!E43:P43)</f>
        <v>-495.42124542124543</v>
      </c>
      <c r="H16" s="121">
        <f>SUM('cash flow monthly'!E70:P70)</f>
        <v>-1981.6849816849817</v>
      </c>
      <c r="I16" s="121">
        <f>SUM('cash flow monthly'!E97:P97)</f>
        <v>-1981.6849816849817</v>
      </c>
      <c r="J16" s="121">
        <f>SUM('cash flow monthly'!E124:P124)</f>
        <v>-1981.6849816849817</v>
      </c>
    </row>
    <row r="17" spans="1:10">
      <c r="A17" s="27" t="s">
        <v>67</v>
      </c>
      <c r="B17" s="27" t="s">
        <v>68</v>
      </c>
      <c r="F17" s="120">
        <f>SUM('cash flow monthly'!E17:P17)</f>
        <v>-16500</v>
      </c>
      <c r="G17" s="121">
        <f>SUM('cash flow monthly'!E44:P44)</f>
        <v>-261.16200000000003</v>
      </c>
      <c r="H17" s="121">
        <f>SUM('cash flow monthly'!E71:P71)</f>
        <v>-3075.9080000000004</v>
      </c>
      <c r="I17" s="121">
        <f>SUM('cash flow monthly'!E98:P98)</f>
        <v>-3165.6000000000008</v>
      </c>
      <c r="J17" s="121">
        <f>SUM('cash flow monthly'!E125:P125)</f>
        <v>-3165.6000000000008</v>
      </c>
    </row>
    <row r="18" spans="1:10">
      <c r="A18" s="27" t="s">
        <v>53</v>
      </c>
      <c r="B18" s="27" t="s">
        <v>69</v>
      </c>
      <c r="F18" s="120">
        <f>SUM('cash flow monthly'!E18:P18)</f>
        <v>-500</v>
      </c>
      <c r="G18" s="121">
        <f>SUM('cash flow monthly'!E45:P45)</f>
        <v>-261.16200000000003</v>
      </c>
      <c r="H18" s="121">
        <f>SUM('cash flow monthly'!E72:P72)</f>
        <v>-3075.9080000000004</v>
      </c>
      <c r="I18" s="121">
        <f>SUM('cash flow monthly'!E99:P99)</f>
        <v>-3165.6000000000008</v>
      </c>
      <c r="J18" s="121">
        <f>SUM('cash flow monthly'!E126:P126)</f>
        <v>-3165.6000000000008</v>
      </c>
    </row>
    <row r="19" spans="1:10">
      <c r="A19" s="64" t="s">
        <v>70</v>
      </c>
      <c r="B19" s="64" t="s">
        <v>71</v>
      </c>
      <c r="C19" s="116"/>
      <c r="D19" s="116"/>
      <c r="E19" s="116"/>
      <c r="F19" s="164">
        <f>SUM('cash flow monthly'!E19:P19)</f>
        <v>-22665</v>
      </c>
      <c r="G19" s="164">
        <f>SUM('cash flow monthly'!E46:P46)</f>
        <v>-7887.3257454212471</v>
      </c>
      <c r="H19" s="164">
        <f>SUM('cash flow monthly'!E73:P73)</f>
        <v>20370.230851648346</v>
      </c>
      <c r="I19" s="164">
        <f>SUM('cash flow monthly'!E100:P100)</f>
        <v>32456.161018315015</v>
      </c>
      <c r="J19" s="164">
        <f>SUM('cash flow monthly'!E127:P127)</f>
        <v>32456.161018315015</v>
      </c>
    </row>
    <row r="20" spans="1:10">
      <c r="A20" s="27" t="s">
        <v>72</v>
      </c>
      <c r="B20" s="27" t="s">
        <v>73</v>
      </c>
      <c r="F20" s="120">
        <f>SUM('cash flow monthly'!E20:P20)</f>
        <v>0</v>
      </c>
      <c r="G20" s="121">
        <f>SUM('cash flow monthly'!E47:P47)</f>
        <v>0</v>
      </c>
      <c r="H20" s="121">
        <f>SUM('cash flow monthly'!E74:P74)</f>
        <v>0</v>
      </c>
      <c r="I20" s="121">
        <f>SUM('cash flow monthly'!E101:P101)</f>
        <v>0</v>
      </c>
      <c r="J20" s="121">
        <f>SUM('cash flow monthly'!E128:P128)</f>
        <v>0</v>
      </c>
    </row>
    <row r="21" spans="1:10">
      <c r="A21" s="27" t="s">
        <v>74</v>
      </c>
      <c r="B21" s="27" t="s">
        <v>25</v>
      </c>
      <c r="F21" s="120">
        <f>SUM('cash flow monthly'!E21:P21)</f>
        <v>0</v>
      </c>
      <c r="G21" s="121">
        <f>SUM('cash flow monthly'!E48:P48)</f>
        <v>-560.02023286999997</v>
      </c>
      <c r="H21" s="121">
        <f>SUM('cash flow monthly'!E75:P75)</f>
        <v>-2240.2300813433335</v>
      </c>
      <c r="I21" s="121">
        <f>SUM('cash flow monthly'!E102:P102)</f>
        <v>-2240.2366663600001</v>
      </c>
      <c r="J21" s="121">
        <f>SUM('cash flow monthly'!E129:P129)</f>
        <v>-2240.2366663600001</v>
      </c>
    </row>
    <row r="22" spans="1:10">
      <c r="A22" s="27" t="s">
        <v>76</v>
      </c>
      <c r="B22" s="27" t="s">
        <v>77</v>
      </c>
      <c r="F22" s="120">
        <f>SUM('cash flow monthly'!E22:P22)</f>
        <v>0</v>
      </c>
      <c r="G22" s="121">
        <f>SUM('cash flow monthly'!E49:P49)</f>
        <v>0</v>
      </c>
      <c r="H22" s="121">
        <f>SUM('cash flow monthly'!E76:P76)</f>
        <v>0</v>
      </c>
      <c r="I22" s="121">
        <f>SUM('cash flow monthly'!E103:P103)</f>
        <v>0</v>
      </c>
      <c r="J22" s="121">
        <f>SUM('cash flow monthly'!E130:P130)</f>
        <v>0</v>
      </c>
    </row>
    <row r="23" spans="1:10">
      <c r="A23" s="64" t="s">
        <v>78</v>
      </c>
      <c r="B23" s="64" t="s">
        <v>79</v>
      </c>
      <c r="C23" s="116"/>
      <c r="D23" s="116"/>
      <c r="E23" s="116"/>
      <c r="F23" s="164">
        <f>SUM('cash flow monthly'!E23:P23)</f>
        <v>-22665</v>
      </c>
      <c r="G23" s="164">
        <f>SUM('cash flow monthly'!E50:P50)</f>
        <v>-8447.345978291245</v>
      </c>
      <c r="H23" s="164">
        <f>SUM('cash flow monthly'!E77:P77)</f>
        <v>18130.000770305011</v>
      </c>
      <c r="I23" s="164">
        <f>SUM('cash flow monthly'!E104:P104)</f>
        <v>30215.924351955007</v>
      </c>
      <c r="J23" s="164">
        <f>SUM('cash flow monthly'!E131:P131)</f>
        <v>30215.924351955007</v>
      </c>
    </row>
    <row r="24" spans="1:10">
      <c r="A24" s="27" t="s">
        <v>80</v>
      </c>
      <c r="B24" s="27" t="s">
        <v>81</v>
      </c>
      <c r="F24" s="120">
        <f>SUM('cash flow monthly'!E24:P24)</f>
        <v>0</v>
      </c>
      <c r="G24" s="121">
        <f>SUM('cash flow monthly'!E51:P51)</f>
        <v>-145.86637535948375</v>
      </c>
      <c r="H24" s="121">
        <f>SUM('cash flow monthly'!E78:P78)</f>
        <v>-5076.4002156854031</v>
      </c>
      <c r="I24" s="121">
        <f>SUM('cash flow monthly'!E105:P105)</f>
        <v>-8460.4588185474004</v>
      </c>
      <c r="J24" s="121">
        <f>SUM('cash flow monthly'!E132:P132)</f>
        <v>-8460.4588185474004</v>
      </c>
    </row>
    <row r="25" spans="1:10">
      <c r="A25" s="64" t="s">
        <v>82</v>
      </c>
      <c r="B25" s="64" t="s">
        <v>83</v>
      </c>
      <c r="C25" s="116"/>
      <c r="D25" s="116"/>
      <c r="E25" s="116"/>
      <c r="F25" s="164">
        <f>SUM('cash flow monthly'!E25:P25)</f>
        <v>-22665</v>
      </c>
      <c r="G25" s="164">
        <f>SUM('cash flow monthly'!E52:P52)</f>
        <v>-8593.2123536507297</v>
      </c>
      <c r="H25" s="164">
        <f>SUM('cash flow monthly'!E79:P79)</f>
        <v>13053.600554619608</v>
      </c>
      <c r="I25" s="164">
        <f>SUM('cash flow monthly'!E106:P106)</f>
        <v>21755.465533407605</v>
      </c>
      <c r="J25" s="164">
        <f>SUM('cash flow monthly'!E133:P133)</f>
        <v>21755.465533407605</v>
      </c>
    </row>
    <row r="26" spans="1:10">
      <c r="A26" s="27" t="s">
        <v>84</v>
      </c>
      <c r="B26" s="82" t="s">
        <v>85</v>
      </c>
      <c r="F26" s="120">
        <f>SUM('cash flow monthly'!E26:P26)</f>
        <v>0</v>
      </c>
      <c r="G26" s="121">
        <f>SUM('cash flow monthly'!E53:P53)</f>
        <v>495.42124542124543</v>
      </c>
      <c r="H26" s="121">
        <f>SUM('cash flow monthly'!E80:P80)</f>
        <v>1981.6849816849817</v>
      </c>
      <c r="I26" s="121">
        <f>SUM('cash flow monthly'!E107:P107)</f>
        <v>1981.6849816849817</v>
      </c>
      <c r="J26" s="121">
        <f>SUM('cash flow monthly'!E134:P134)</f>
        <v>1981.6849816849817</v>
      </c>
    </row>
    <row r="27" spans="1:10">
      <c r="A27" s="64" t="s">
        <v>86</v>
      </c>
      <c r="B27" s="64" t="s">
        <v>87</v>
      </c>
      <c r="C27" s="116"/>
      <c r="D27" s="116"/>
      <c r="E27" s="116"/>
      <c r="F27" s="164">
        <f>SUM('cash flow monthly'!E27:P27)</f>
        <v>-22665</v>
      </c>
      <c r="G27" s="164">
        <f>SUM('cash flow monthly'!E54:P54)</f>
        <v>-8097.7911082294841</v>
      </c>
      <c r="H27" s="164">
        <f>SUM('cash flow monthly'!E81:P81)</f>
        <v>15035.285536304589</v>
      </c>
      <c r="I27" s="164">
        <f>SUM('cash flow monthly'!E108:P108)</f>
        <v>23737.15051509258</v>
      </c>
      <c r="J27" s="164">
        <f>SUM('cash flow monthly'!E135:P135)</f>
        <v>23737.15051509258</v>
      </c>
    </row>
    <row r="28" spans="1:10">
      <c r="A28" s="63" t="s">
        <v>88</v>
      </c>
      <c r="B28" s="64" t="s">
        <v>147</v>
      </c>
      <c r="F28" s="128">
        <f>F19/('p&amp;l base'!$X$29/1000)</f>
        <v>-0.80946428571428575</v>
      </c>
      <c r="G28" s="128">
        <f>G19/('p&amp;l base'!$X$29/1000)</f>
        <v>-0.28169020519361598</v>
      </c>
      <c r="H28" s="128">
        <f>H19/('p&amp;l base'!$X$29/1000)</f>
        <v>0.7275082447017267</v>
      </c>
      <c r="I28" s="128">
        <f>I19/('p&amp;l base'!$X$29/1000)</f>
        <v>1.1591486077969648</v>
      </c>
      <c r="J28" s="128">
        <f>J19/('p&amp;l base'!$X$29/1000)</f>
        <v>1.1591486077969648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B2139-C6F2-F647-94EB-10169526C2A4}">
  <dimension ref="A1:J6"/>
  <sheetViews>
    <sheetView workbookViewId="0">
      <selection activeCell="I8" sqref="I8"/>
    </sheetView>
  </sheetViews>
  <sheetFormatPr baseColWidth="10" defaultRowHeight="16"/>
  <sheetData>
    <row r="1" spans="1:10">
      <c r="C1" s="162" t="s">
        <v>148</v>
      </c>
      <c r="D1" s="162"/>
      <c r="E1" s="163" t="s">
        <v>150</v>
      </c>
      <c r="F1" s="163"/>
      <c r="I1" s="163" t="s">
        <v>151</v>
      </c>
      <c r="J1" s="163"/>
    </row>
    <row r="2" spans="1:10">
      <c r="A2" t="s">
        <v>149</v>
      </c>
      <c r="C2">
        <f>'cash flow monthly'!E18</f>
        <v>-150</v>
      </c>
      <c r="D2">
        <f>SUM(C2)</f>
        <v>-150</v>
      </c>
    </row>
    <row r="3" spans="1:10">
      <c r="C3">
        <f>'cash flow monthly'!F12</f>
        <v>-5500</v>
      </c>
      <c r="D3">
        <f>SUM(C2:C3)</f>
        <v>-5650</v>
      </c>
    </row>
    <row r="4" spans="1:10">
      <c r="C4">
        <f>'cash flow monthly'!J17</f>
        <v>-16500</v>
      </c>
      <c r="D4">
        <f>SUM(C2:C4)</f>
        <v>-22150</v>
      </c>
    </row>
    <row r="5" spans="1:10">
      <c r="C5">
        <f>'cash flow monthly'!O18</f>
        <v>-350</v>
      </c>
      <c r="D5">
        <f>SUM(C2:C5)</f>
        <v>-22500</v>
      </c>
    </row>
    <row r="6" spans="1:10">
      <c r="C6">
        <f>'cash flow monthly'!M39</f>
        <v>-5500</v>
      </c>
      <c r="D6">
        <f>SUM(C2:C6)</f>
        <v>-28000</v>
      </c>
    </row>
  </sheetData>
  <mergeCells count="3">
    <mergeCell ref="C1:D1"/>
    <mergeCell ref="E1:F1"/>
    <mergeCell ref="I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p&amp;l base</vt:lpstr>
      <vt:lpstr>cash flow monthly</vt:lpstr>
      <vt:lpstr>p&amp;l anual 5 years</vt:lpstr>
      <vt:lpstr>Data for Chart</vt:lpstr>
      <vt:lpstr>'p&amp;l base'!Druckbereich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Hillenbrand</dc:creator>
  <cp:lastModifiedBy>Stephan Hillenbrand</cp:lastModifiedBy>
  <cp:lastPrinted>2019-03-06T22:31:55Z</cp:lastPrinted>
  <dcterms:created xsi:type="dcterms:W3CDTF">2019-03-01T12:07:56Z</dcterms:created>
  <dcterms:modified xsi:type="dcterms:W3CDTF">2019-09-19T14:17:19Z</dcterms:modified>
</cp:coreProperties>
</file>